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0" yWindow="6120" windowWidth="7650" windowHeight="1755" tabRatio="867" activeTab="0"/>
  </bookViews>
  <sheets>
    <sheet name="Bank Loan" sheetId="1" r:id="rId1"/>
  </sheets>
  <externalReferences>
    <externalReference r:id="rId4"/>
  </externalReferences>
  <definedNames>
    <definedName name="Beg_Bal">#REF!</definedName>
    <definedName name="Beginning_Balance">-FV(Interest_Rate/12,Payment_Number-1,-Monthly_Payment,Loan_Amount)</definedName>
    <definedName name="End_Bal">'[1]Amortization Table'!$I$19:$I$378</definedName>
    <definedName name="Ending_Balance">-FV(Interest_Rate/12,Payment_Number,-Monthly_Payment,Loan_Amount)</definedName>
    <definedName name="Extra_Pay">#REF!</definedName>
    <definedName name="Header_Row">ROW('[1]Amortization Table'!$18:$18)</definedName>
    <definedName name="Int">#REF!</definedName>
    <definedName name="Interest">-IPMT(Interest_Rate/12,Payment_Number,Number_Of_Payments,Loan_Amount)</definedName>
    <definedName name="Interest_Rate">#REF!</definedName>
    <definedName name="Last_Row">IF(Values_Entered,Header_Row+Number_Of_Payments,Header_Row)</definedName>
    <definedName name="Loan_Amount">#REF!</definedName>
    <definedName name="Loan_Not_Paid">IF(Payment_Number&lt;=Number_Of_Payments,1,0)</definedName>
    <definedName name="Loan_Start">#REF!</definedName>
    <definedName name="Loan_Years">#REF!</definedName>
    <definedName name="Monthly_Payment">-PMT(Interest_Rate/12,Number_Of_Payments,Loan_Amount)</definedName>
    <definedName name="Num_Pmt_Per_Year">#REF!</definedName>
    <definedName name="Number_Of_Payments">#REF!</definedName>
    <definedName name="Pay_Num">#REF!</definedName>
    <definedName name="Payment_Date">DATE(YEAR(Loan_Start),MONTH(Loan_Start)+Payment_Number,DAY(Loan_Start))</definedName>
    <definedName name="Payment_Number">ROW()-Header_Row</definedName>
    <definedName name="Princ">#REF!</definedName>
    <definedName name="Principal">-PPMT(Interest_Rate/12,Payment_Number,Number_Of_Payments,Loan_Amount)</definedName>
    <definedName name="Sched_Pay">#REF!</definedName>
    <definedName name="Scheduled_Extra_Payments">#REF!</definedName>
    <definedName name="Scheduled_Monthly_Payment">#REF!</definedName>
    <definedName name="Total_Cost">#REF!</definedName>
    <definedName name="Total_Interest">#REF!</definedName>
    <definedName name="Total_Pay">#REF!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<sst xmlns="http://schemas.openxmlformats.org/spreadsheetml/2006/main" count="62" uniqueCount="45">
  <si>
    <t>Interest</t>
  </si>
  <si>
    <t>Principal</t>
  </si>
  <si>
    <t>Years</t>
  </si>
  <si>
    <t>Annual interest rate</t>
  </si>
  <si>
    <t>Loan period in years</t>
  </si>
  <si>
    <t>Beginning Balance</t>
  </si>
  <si>
    <t>Ending Balance</t>
  </si>
  <si>
    <t>Cumulative Interest</t>
  </si>
  <si>
    <t>Payment</t>
  </si>
  <si>
    <t>Inputs</t>
  </si>
  <si>
    <t>Key Figures</t>
  </si>
  <si>
    <t>Loan principal amount</t>
  </si>
  <si>
    <t>Annual loan payments</t>
  </si>
  <si>
    <t>Monthly payments</t>
  </si>
  <si>
    <t>Interest in first calendar year</t>
  </si>
  <si>
    <t>Base year of loan</t>
  </si>
  <si>
    <t>Interest over term of loan</t>
  </si>
  <si>
    <t>Base month of loan</t>
  </si>
  <si>
    <t>Sum of all payments</t>
  </si>
  <si>
    <t>Payments in First 12 Months</t>
  </si>
  <si>
    <t>Year</t>
  </si>
  <si>
    <t>Month</t>
  </si>
  <si>
    <t xml:space="preserve">Payment </t>
  </si>
  <si>
    <t xml:space="preserve">Principal </t>
  </si>
  <si>
    <t xml:space="preserve">Interest </t>
  </si>
  <si>
    <t>Cumulative Principal</t>
  </si>
  <si>
    <t>Yearly Schedule of Balances and Payments</t>
  </si>
  <si>
    <t>DO NOT ERASE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</si>
  <si>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</si>
  <si>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</si>
  <si>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</si>
  <si>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</si>
  <si>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</si>
  <si>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</si>
  <si>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</si>
  <si>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</si>
  <si>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</si>
  <si>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</si>
  <si>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</si>
  <si>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</si>
  <si>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</t>
  </si>
  <si>
    <t>Base Year</t>
  </si>
  <si>
    <t>Last Year</t>
  </si>
  <si>
    <t>Mos in Last Yr</t>
  </si>
  <si>
    <t>Loan Amortization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</si>
</sst>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_(&quot;$&quot;* #,##0_);_(&quot;$&quot;* \(#,##0\);_(&quot;$&quot;* &quot;-&quot;??_);_(@_)"/>
    <numFmt numFmtId="175" formatCode="[$-409]mmm\-yy;@"/>
    <numFmt numFmtId="176" formatCode="#,##0.0"/>
    <numFmt numFmtId="177" formatCode="[$-409]mmmm\ d\,\ yyyy;@"/>
    <numFmt numFmtId="178" formatCode="_(&quot;$&quot;* #,##0.000_);_(&quot;$&quot;* \(#,##0.000\);_(&quot;$&quot;* &quot;-&quot;??_);_(@_)"/>
    <numFmt numFmtId="179" formatCode="&quot;$&quot;#,##0.00"/>
    <numFmt numFmtId="180" formatCode="0_)"/>
    <numFmt numFmtId="181" formatCode="0.000%"/>
    <numFmt numFmtId="182" formatCode="0.0000000000000000%"/>
    <numFmt numFmtId="183" formatCode="_(&quot;$&quot;* #,##0.0000_);_(&quot;$&quot;* \(#,##0.0000\);_(&quot;$&quot;* &quot;-&quot;??_);_(@_)"/>
    <numFmt numFmtId="184" formatCode="_(&quot;$&quot;* #,##0.0000_);_(&quot;$&quot;* \(#,##0.0000\);_(&quot;$&quot;* &quot;-&quot;????_);_(@_)"/>
    <numFmt numFmtId="185" formatCode="_(&quot;$&quot;* #,##0.0_);_(&quot;$&quot;* \(#,##0.0\);_(&quot;$&quot;* &quot;-&quot;??_);_(@_)"/>
    <numFmt numFmtId="186" formatCode="&quot;$&quot;#,##0.0_);\(&quot;$&quot;#,##0.0\)"/>
    <numFmt numFmtId="187" formatCode="&quot;$&quot;#,##0.000_);\(&quot;$&quot;#,##0.000\)"/>
    <numFmt numFmtId="188" formatCode="&quot;$&quot;#,##0"/>
    <numFmt numFmtId="189" formatCode="_-&quot;$&quot;* #,##0.0000_-;\-&quot;$&quot;* #,##0.0000_-;_-&quot;$&quot;* &quot;-&quot;????_-;_-@_-"/>
    <numFmt numFmtId="190" formatCode="_-&quot;$&quot;* #,##0.000_-;\-&quot;$&quot;* #,##0.000_-;_-&quot;$&quot;* &quot;-&quot;?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20"/>
      <name val="Tahoma"/>
      <family val="2"/>
    </font>
    <font>
      <sz val="10"/>
      <color indexed="5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10"/>
      <color indexed="23"/>
      <name val="Tahoma"/>
      <family val="2"/>
    </font>
    <font>
      <sz val="8"/>
      <color indexed="5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37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37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81" fontId="9" fillId="0" borderId="10" xfId="0" applyNumberFormat="1" applyFont="1" applyFill="1" applyBorder="1" applyAlignment="1" applyProtection="1">
      <alignment horizontal="left" vertical="center"/>
      <protection locked="0"/>
    </xf>
    <xf numFmtId="37" fontId="9" fillId="0" borderId="10" xfId="0" applyNumberFormat="1" applyFont="1" applyFill="1" applyBorder="1" applyAlignment="1" applyProtection="1">
      <alignment horizontal="left" vertical="center"/>
      <protection locked="0"/>
    </xf>
    <xf numFmtId="180" fontId="9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 wrapText="1"/>
      <protection/>
    </xf>
    <xf numFmtId="39" fontId="7" fillId="32" borderId="11" xfId="0" applyNumberFormat="1" applyFont="1" applyFill="1" applyBorder="1" applyAlignment="1" applyProtection="1">
      <alignment horizontal="left" vertical="center" wrapText="1"/>
      <protection/>
    </xf>
    <xf numFmtId="39" fontId="7" fillId="32" borderId="10" xfId="0" applyNumberFormat="1" applyFont="1" applyFill="1" applyBorder="1" applyAlignment="1" applyProtection="1">
      <alignment horizontal="left" vertical="center" wrapText="1"/>
      <protection/>
    </xf>
    <xf numFmtId="0" fontId="7" fillId="32" borderId="12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left" vertical="center"/>
    </xf>
    <xf numFmtId="0" fontId="7" fillId="32" borderId="10" xfId="0" applyFont="1" applyFill="1" applyBorder="1" applyAlignment="1" applyProtection="1">
      <alignment horizontal="left" vertical="center" wrapText="1"/>
      <protection/>
    </xf>
    <xf numFmtId="39" fontId="7" fillId="32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right" vertical="center"/>
      <protection/>
    </xf>
    <xf numFmtId="39" fontId="11" fillId="33" borderId="13" xfId="0" applyNumberFormat="1" applyFont="1" applyFill="1" applyBorder="1" applyAlignment="1" applyProtection="1">
      <alignment horizontal="left" vertical="center"/>
      <protection/>
    </xf>
    <xf numFmtId="39" fontId="6" fillId="33" borderId="14" xfId="0" applyNumberFormat="1" applyFont="1" applyFill="1" applyBorder="1" applyAlignment="1" applyProtection="1">
      <alignment horizontal="left" vertical="center"/>
      <protection/>
    </xf>
    <xf numFmtId="39" fontId="4" fillId="33" borderId="15" xfId="0" applyNumberFormat="1" applyFont="1" applyFill="1" applyBorder="1" applyAlignment="1" applyProtection="1">
      <alignment horizontal="left" vertical="center"/>
      <protection/>
    </xf>
    <xf numFmtId="39" fontId="4" fillId="33" borderId="16" xfId="0" applyNumberFormat="1" applyFont="1" applyFill="1" applyBorder="1" applyAlignment="1" applyProtection="1">
      <alignment horizontal="left" vertical="center"/>
      <protection/>
    </xf>
    <xf numFmtId="39" fontId="6" fillId="33" borderId="0" xfId="0" applyNumberFormat="1" applyFont="1" applyFill="1" applyAlignment="1" applyProtection="1">
      <alignment horizontal="left" vertical="center"/>
      <protection/>
    </xf>
    <xf numFmtId="39" fontId="4" fillId="33" borderId="17" xfId="0" applyNumberFormat="1" applyFont="1" applyFill="1" applyBorder="1" applyAlignment="1" applyProtection="1">
      <alignment horizontal="left" vertical="center"/>
      <protection/>
    </xf>
    <xf numFmtId="180" fontId="4" fillId="33" borderId="16" xfId="0" applyNumberFormat="1" applyFont="1" applyFill="1" applyBorder="1" applyAlignment="1" applyProtection="1">
      <alignment horizontal="left" vertical="center"/>
      <protection/>
    </xf>
    <xf numFmtId="0" fontId="4" fillId="33" borderId="17" xfId="0" applyNumberFormat="1" applyFont="1" applyFill="1" applyBorder="1" applyAlignment="1" applyProtection="1">
      <alignment horizontal="left" vertical="center"/>
      <protection/>
    </xf>
    <xf numFmtId="39" fontId="4" fillId="33" borderId="18" xfId="0" applyNumberFormat="1" applyFont="1" applyFill="1" applyBorder="1" applyAlignment="1" applyProtection="1">
      <alignment horizontal="left" vertical="center"/>
      <protection/>
    </xf>
    <xf numFmtId="39" fontId="6" fillId="33" borderId="19" xfId="0" applyNumberFormat="1" applyFont="1" applyFill="1" applyBorder="1" applyAlignment="1" applyProtection="1">
      <alignment horizontal="left" vertical="center"/>
      <protection/>
    </xf>
    <xf numFmtId="39" fontId="4" fillId="33" borderId="20" xfId="0" applyNumberFormat="1" applyFont="1" applyFill="1" applyBorder="1" applyAlignment="1" applyProtection="1">
      <alignment horizontal="left" vertical="center"/>
      <protection/>
    </xf>
    <xf numFmtId="170" fontId="9" fillId="0" borderId="10" xfId="0" applyNumberFormat="1" applyFont="1" applyFill="1" applyBorder="1" applyAlignment="1" applyProtection="1">
      <alignment horizontal="left" vertical="center"/>
      <protection locked="0"/>
    </xf>
    <xf numFmtId="18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6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0" fontId="9" fillId="0" borderId="23" xfId="0" applyFont="1" applyFill="1" applyBorder="1" applyAlignment="1" applyProtection="1">
      <alignment horizontal="left" vertical="center"/>
      <protection/>
    </xf>
    <xf numFmtId="39" fontId="7" fillId="34" borderId="21" xfId="0" applyNumberFormat="1" applyFont="1" applyFill="1" applyBorder="1" applyAlignment="1" applyProtection="1">
      <alignment horizontal="left" vertical="center"/>
      <protection/>
    </xf>
    <xf numFmtId="39" fontId="7" fillId="34" borderId="22" xfId="0" applyNumberFormat="1" applyFont="1" applyFill="1" applyBorder="1" applyAlignment="1" applyProtection="1">
      <alignment horizontal="left" vertical="center"/>
      <protection/>
    </xf>
    <xf numFmtId="39" fontId="7" fillId="34" borderId="23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m\My%20Documents\Consulting\amortization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ortization Table"/>
    </sheetNames>
    <sheetDataSet>
      <sheetData sheetId="0">
        <row r="19">
          <cell r="I19">
            <v>4876079.47226127</v>
          </cell>
        </row>
        <row r="20">
          <cell r="I20">
            <v>4851959.606791384</v>
          </cell>
        </row>
        <row r="21">
          <cell r="I21">
            <v>4827638.742442582</v>
          </cell>
        </row>
        <row r="22">
          <cell r="I22">
            <v>4803115.2042242065</v>
          </cell>
        </row>
        <row r="23">
          <cell r="I23">
            <v>4778387.303187345</v>
          </cell>
        </row>
        <row r="24">
          <cell r="I24">
            <v>4753453.33630851</v>
          </cell>
        </row>
        <row r="25">
          <cell r="I25">
            <v>4728311.586372351</v>
          </cell>
        </row>
        <row r="26">
          <cell r="I26">
            <v>4702960.321853391</v>
          </cell>
        </row>
        <row r="27">
          <cell r="I27">
            <v>4677397.796796773</v>
          </cell>
        </row>
        <row r="28">
          <cell r="I28">
            <v>4651622.250698016</v>
          </cell>
        </row>
        <row r="29">
          <cell r="I29">
            <v>4625631.908381769</v>
          </cell>
        </row>
        <row r="30">
          <cell r="I30">
            <v>4599424.979879554</v>
          </cell>
        </row>
        <row r="31">
          <cell r="I31">
            <v>4572999.660306487</v>
          </cell>
        </row>
        <row r="32">
          <cell r="I32">
            <v>4546354.129736978</v>
          </cell>
        </row>
        <row r="33">
          <cell r="I33">
            <v>4519486.553079389</v>
          </cell>
        </row>
        <row r="34">
          <cell r="I34">
            <v>4492395.079949654</v>
          </cell>
        </row>
        <row r="35">
          <cell r="I35">
            <v>4465077.844543837</v>
          </cell>
        </row>
        <row r="36">
          <cell r="I36">
            <v>4437532.965509639</v>
          </cell>
        </row>
        <row r="37">
          <cell r="I37">
            <v>4409758.545816823</v>
          </cell>
        </row>
        <row r="38">
          <cell r="I38">
            <v>4381752.672626566</v>
          </cell>
        </row>
        <row r="39">
          <cell r="I39">
            <v>4353513.417159724</v>
          </cell>
        </row>
        <row r="40">
          <cell r="I40">
            <v>4325038.834563992</v>
          </cell>
        </row>
        <row r="41">
          <cell r="I41">
            <v>4296326.963779962</v>
          </cell>
        </row>
        <row r="42">
          <cell r="I42">
            <v>4267375.827406065</v>
          </cell>
        </row>
        <row r="43">
          <cell r="I43">
            <v>4238183.4315623855</v>
          </cell>
        </row>
        <row r="44">
          <cell r="I44">
            <v>4208747.765753342</v>
          </cell>
        </row>
        <row r="45">
          <cell r="I45">
            <v>4179066.802729223</v>
          </cell>
        </row>
        <row r="46">
          <cell r="I46">
            <v>4149138.49834657</v>
          </cell>
        </row>
        <row r="47">
          <cell r="I47">
            <v>4118960.791427395</v>
          </cell>
        </row>
        <row r="48">
          <cell r="I48">
            <v>4088531.6036172262</v>
          </cell>
        </row>
        <row r="49">
          <cell r="I49">
            <v>4057848.839241973</v>
          </cell>
        </row>
        <row r="50">
          <cell r="I50">
            <v>4026910.3851635926</v>
          </cell>
        </row>
        <row r="51">
          <cell r="I51">
            <v>3995714.1106345593</v>
          </cell>
        </row>
        <row r="52">
          <cell r="I52">
            <v>3964257.8671511174</v>
          </cell>
        </row>
        <row r="53">
          <cell r="I53">
            <v>3932539.4883053135</v>
          </cell>
        </row>
        <row r="54">
          <cell r="I54">
            <v>3900556.7896357942</v>
          </cell>
        </row>
        <row r="55">
          <cell r="I55">
            <v>3868307.5684773624</v>
          </cell>
        </row>
        <row r="56">
          <cell r="I56">
            <v>3835789.603809277</v>
          </cell>
        </row>
        <row r="57">
          <cell r="I57">
            <v>3803000.656102291</v>
          </cell>
        </row>
        <row r="58">
          <cell r="I58">
            <v>3769938.467164413</v>
          </cell>
        </row>
        <row r="59">
          <cell r="I59">
            <v>3736600.7599853864</v>
          </cell>
        </row>
        <row r="60">
          <cell r="I60">
            <v>3702985.238579868</v>
          </cell>
        </row>
        <row r="61">
          <cell r="I61">
            <v>3669089.5878293035</v>
          </cell>
        </row>
        <row r="62">
          <cell r="I62">
            <v>3634911.473322484</v>
          </cell>
        </row>
        <row r="63">
          <cell r="I63">
            <v>3600448.5411947747</v>
          </cell>
        </row>
        <row r="64">
          <cell r="I64">
            <v>3565698.417966001</v>
          </cell>
        </row>
        <row r="65">
          <cell r="I65">
            <v>3530658.7103769877</v>
          </cell>
        </row>
        <row r="66">
          <cell r="I66">
            <v>3495327.0052247327</v>
          </cell>
        </row>
        <row r="67">
          <cell r="I67">
            <v>3459700.8691962087</v>
          </cell>
        </row>
        <row r="68">
          <cell r="I68">
            <v>3423777.8487007804</v>
          </cell>
        </row>
        <row r="69">
          <cell r="I69">
            <v>3387555.4697012235</v>
          </cell>
        </row>
        <row r="70">
          <cell r="I70">
            <v>3351031.237543337</v>
          </cell>
        </row>
        <row r="71">
          <cell r="I71">
            <v>3314202.636784135</v>
          </cell>
        </row>
        <row r="72">
          <cell r="I72">
            <v>3277067.131018606</v>
          </cell>
        </row>
        <row r="73">
          <cell r="I73">
            <v>3239622.162705031</v>
          </cell>
        </row>
        <row r="74">
          <cell r="I74">
            <v>3201865.152988843</v>
          </cell>
        </row>
        <row r="75">
          <cell r="I75">
            <v>3163793.50152502</v>
          </cell>
        </row>
        <row r="76">
          <cell r="I76">
            <v>3125404.5862989984</v>
          </cell>
        </row>
        <row r="77">
          <cell r="I77">
            <v>3086695.7634460935</v>
          </cell>
        </row>
        <row r="78">
          <cell r="I78">
            <v>3047664.3670694144</v>
          </cell>
        </row>
        <row r="79">
          <cell r="I79">
            <v>3008307.709056263</v>
          </cell>
        </row>
        <row r="80">
          <cell r="I80">
            <v>2968623.0788930017</v>
          </cell>
        </row>
        <row r="81">
          <cell r="I81">
            <v>2928607.74347838</v>
          </cell>
        </row>
        <row r="82">
          <cell r="I82">
            <v>2888258.946935303</v>
          </cell>
        </row>
        <row r="83">
          <cell r="I83">
            <v>2847573.910421034</v>
          </cell>
        </row>
        <row r="84">
          <cell r="I84">
            <v>2806549.8319358123</v>
          </cell>
        </row>
        <row r="85">
          <cell r="I85">
            <v>2765183.886129881</v>
          </cell>
        </row>
        <row r="86">
          <cell r="I86">
            <v>2723473.2241089</v>
          </cell>
        </row>
        <row r="87">
          <cell r="I87">
            <v>2681414.973237744</v>
          </cell>
        </row>
        <row r="88">
          <cell r="I88">
            <v>2639006.236942662</v>
          </cell>
        </row>
        <row r="89">
          <cell r="I89">
            <v>2596244.0945117874</v>
          </cell>
        </row>
        <row r="90">
          <cell r="I90">
            <v>2553125.6008939887</v>
          </cell>
        </row>
        <row r="91">
          <cell r="I91">
            <v>2509647.786496042</v>
          </cell>
        </row>
        <row r="92">
          <cell r="I92">
            <v>2465807.656978112</v>
          </cell>
        </row>
        <row r="93">
          <cell r="I93">
            <v>2421602.1930475333</v>
          </cell>
        </row>
        <row r="94">
          <cell r="I94">
            <v>2377028.350250866</v>
          </cell>
        </row>
        <row r="95">
          <cell r="I95">
            <v>2332083.0587642263</v>
          </cell>
        </row>
        <row r="96">
          <cell r="I96">
            <v>2286763.2231818647</v>
          </cell>
        </row>
        <row r="97">
          <cell r="I97">
            <v>2241065.7223029835</v>
          </cell>
        </row>
        <row r="98">
          <cell r="I98">
            <v>2194987.4089167784</v>
          </cell>
        </row>
        <row r="99">
          <cell r="I99">
            <v>2148525.109585688</v>
          </cell>
        </row>
        <row r="100">
          <cell r="I100">
            <v>2101675.6244268385</v>
          </cell>
        </row>
        <row r="101">
          <cell r="I101">
            <v>2054435.7268916655</v>
          </cell>
        </row>
        <row r="102">
          <cell r="I102">
            <v>2006802.1635436993</v>
          </cell>
        </row>
        <row r="103">
          <cell r="I103">
            <v>1958771.6538345001</v>
          </cell>
        </row>
        <row r="104">
          <cell r="I104">
            <v>1910340.8898777242</v>
          </cell>
        </row>
        <row r="105">
          <cell r="I105">
            <v>1861506.5362213086</v>
          </cell>
        </row>
        <row r="106">
          <cell r="I106">
            <v>1812265.229617756</v>
          </cell>
        </row>
        <row r="107">
          <cell r="I107">
            <v>1762613.5787925073</v>
          </cell>
        </row>
        <row r="108">
          <cell r="I108">
            <v>1712548.1642103815</v>
          </cell>
        </row>
        <row r="109">
          <cell r="I109">
            <v>1662065.5378400711</v>
          </cell>
        </row>
        <row r="110">
          <cell r="I110">
            <v>1611162.222916675</v>
          </cell>
        </row>
        <row r="111">
          <cell r="I111">
            <v>1559834.7137022505</v>
          </cell>
        </row>
        <row r="112">
          <cell r="I112">
            <v>1508079.4752443726</v>
          </cell>
        </row>
        <row r="113">
          <cell r="I113">
            <v>1455892.943132679</v>
          </cell>
        </row>
        <row r="114">
          <cell r="I114">
            <v>1403271.523253388</v>
          </cell>
        </row>
        <row r="115">
          <cell r="I115">
            <v>1350211.5915417694</v>
          </cell>
        </row>
        <row r="116">
          <cell r="I116">
            <v>1296709.4937325541</v>
          </cell>
        </row>
        <row r="117">
          <cell r="I117">
            <v>1242761.545108262</v>
          </cell>
        </row>
        <row r="118">
          <cell r="I118">
            <v>1188364.030245434</v>
          </cell>
        </row>
        <row r="119">
          <cell r="I119">
            <v>1133513.2027587492</v>
          </cell>
        </row>
        <row r="120">
          <cell r="I120">
            <v>1078205.2850430089</v>
          </cell>
        </row>
        <row r="121">
          <cell r="I121">
            <v>1022436.4680129705</v>
          </cell>
        </row>
        <row r="122">
          <cell r="I122">
            <v>966202.9108410152</v>
          </cell>
        </row>
        <row r="123">
          <cell r="I123">
            <v>909500.7406926269</v>
          </cell>
        </row>
        <row r="124">
          <cell r="I124">
            <v>852326.0524596687</v>
          </cell>
        </row>
        <row r="125">
          <cell r="I125">
            <v>794674.9084914359</v>
          </cell>
        </row>
        <row r="126">
          <cell r="I126">
            <v>736543.3383234679</v>
          </cell>
        </row>
        <row r="127">
          <cell r="I127">
            <v>677927.3384041</v>
          </cell>
        </row>
        <row r="128">
          <cell r="I128">
            <v>618822.8718187375</v>
          </cell>
        </row>
        <row r="129">
          <cell r="I129">
            <v>559225.8680118303</v>
          </cell>
        </row>
        <row r="130">
          <cell r="I130">
            <v>499132.2225065321</v>
          </cell>
        </row>
        <row r="131">
          <cell r="I131">
            <v>438537.79662202316</v>
          </cell>
        </row>
        <row r="132">
          <cell r="I132">
            <v>377438.41718847665</v>
          </cell>
        </row>
        <row r="133">
          <cell r="I133">
            <v>315829.87625965057</v>
          </cell>
        </row>
        <row r="134">
          <cell r="I134">
            <v>253707.93082308426</v>
          </cell>
        </row>
        <row r="135">
          <cell r="I135">
            <v>191068.3025078799</v>
          </cell>
        </row>
        <row r="136">
          <cell r="I136">
            <v>127906.67729004886</v>
          </cell>
        </row>
        <row r="137">
          <cell r="I137">
            <v>64218.705195402545</v>
          </cell>
        </row>
        <row r="138">
          <cell r="I138">
            <v>0</v>
          </cell>
        </row>
        <row r="139">
          <cell r="I139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4"/>
  <sheetViews>
    <sheetView showGridLines="0" tabSelected="1" zoomScalePageLayoutView="0" workbookViewId="0" topLeftCell="A1">
      <selection activeCell="E8" sqref="E8"/>
    </sheetView>
  </sheetViews>
  <sheetFormatPr defaultColWidth="9.140625" defaultRowHeight="12.75"/>
  <cols>
    <col min="1" max="1" width="1.7109375" style="6" customWidth="1"/>
    <col min="2" max="2" width="6.140625" style="6" customWidth="1"/>
    <col min="3" max="3" width="15.140625" style="6" customWidth="1"/>
    <col min="4" max="4" width="15.8515625" style="6" customWidth="1"/>
    <col min="5" max="5" width="17.00390625" style="6" customWidth="1"/>
    <col min="6" max="6" width="13.28125" style="6" customWidth="1"/>
    <col min="7" max="7" width="15.140625" style="6" customWidth="1"/>
    <col min="8" max="8" width="16.00390625" style="6" customWidth="1"/>
    <col min="9" max="9" width="15.421875" style="6" customWidth="1"/>
    <col min="10" max="10" width="16.00390625" style="6" customWidth="1"/>
    <col min="11" max="11" width="4.7109375" style="6" customWidth="1"/>
    <col min="12" max="16384" width="9.140625" style="6" customWidth="1"/>
  </cols>
  <sheetData>
    <row r="1" spans="1:17" ht="48.75" customHeight="1">
      <c r="A1" s="1"/>
      <c r="B1" s="2" t="s">
        <v>44</v>
      </c>
      <c r="C1" s="3"/>
      <c r="D1" s="3"/>
      <c r="E1" s="3"/>
      <c r="F1" s="3"/>
      <c r="G1" s="3"/>
      <c r="H1" s="3"/>
      <c r="I1" s="3"/>
      <c r="J1" s="3"/>
      <c r="K1" s="1"/>
      <c r="L1" s="4"/>
      <c r="M1" s="4"/>
      <c r="N1" s="5"/>
      <c r="O1" s="5"/>
      <c r="P1" s="5"/>
      <c r="Q1" s="4"/>
    </row>
    <row r="2" spans="1:17" ht="4.5" customHeight="1">
      <c r="A2" s="7"/>
      <c r="B2" s="8"/>
      <c r="C2" s="9"/>
      <c r="D2" s="9"/>
      <c r="E2" s="9"/>
      <c r="F2" s="9"/>
      <c r="G2" s="9"/>
      <c r="H2" s="9"/>
      <c r="I2" s="9"/>
      <c r="J2" s="9"/>
      <c r="K2" s="7"/>
      <c r="L2" s="10"/>
      <c r="M2" s="10"/>
      <c r="N2" s="11"/>
      <c r="O2" s="11"/>
      <c r="P2" s="11"/>
      <c r="Q2" s="10"/>
    </row>
    <row r="3" spans="1:17" ht="18" customHeight="1">
      <c r="A3" s="7"/>
      <c r="B3" s="47" t="s">
        <v>9</v>
      </c>
      <c r="C3" s="48"/>
      <c r="D3" s="48"/>
      <c r="E3" s="49"/>
      <c r="F3" s="7"/>
      <c r="G3" s="47" t="s">
        <v>10</v>
      </c>
      <c r="H3" s="48"/>
      <c r="I3" s="48"/>
      <c r="J3" s="49"/>
      <c r="K3" s="10"/>
      <c r="L3" s="10"/>
      <c r="M3" s="10"/>
      <c r="N3" s="11"/>
      <c r="O3" s="11"/>
      <c r="P3" s="11"/>
      <c r="Q3" s="10"/>
    </row>
    <row r="4" spans="1:17" ht="12" customHeight="1">
      <c r="A4" s="12"/>
      <c r="B4" s="44" t="s">
        <v>11</v>
      </c>
      <c r="C4" s="45"/>
      <c r="D4" s="46"/>
      <c r="E4" s="39">
        <v>100000</v>
      </c>
      <c r="F4" s="7"/>
      <c r="G4" s="44" t="s">
        <v>12</v>
      </c>
      <c r="H4" s="45"/>
      <c r="I4" s="46"/>
      <c r="J4" s="42">
        <f>IF(AND(ISNUMBER(E4),ISNUMBER(E5),ISNUMBER(E6),ISNUMBER(E7)),J5*12,"")</f>
        <v>8876.28</v>
      </c>
      <c r="K4" s="13"/>
      <c r="L4" s="13"/>
      <c r="M4" s="13"/>
      <c r="N4" s="14"/>
      <c r="O4" s="14"/>
      <c r="P4" s="14"/>
      <c r="Q4" s="13"/>
    </row>
    <row r="5" spans="1:17" ht="12" customHeight="1">
      <c r="A5" s="12"/>
      <c r="B5" s="44" t="s">
        <v>3</v>
      </c>
      <c r="C5" s="45"/>
      <c r="D5" s="46"/>
      <c r="E5" s="15">
        <v>0.04</v>
      </c>
      <c r="F5" s="7"/>
      <c r="G5" s="44" t="s">
        <v>13</v>
      </c>
      <c r="H5" s="45"/>
      <c r="I5" s="46"/>
      <c r="J5" s="42">
        <f>IF(AND(ISNUMBER(E4),ISNUMBER(E5),ISNUMBER(E6),ISNUMBER(E7)),ROUND(PMT(E5/12,Q208,-E4),2),"")</f>
        <v>739.69</v>
      </c>
      <c r="K5" s="13"/>
      <c r="L5" s="13"/>
      <c r="M5" s="13"/>
      <c r="N5" s="14"/>
      <c r="O5" s="14"/>
      <c r="P5" s="14"/>
      <c r="Q5" s="13"/>
    </row>
    <row r="6" spans="1:17" ht="12" customHeight="1">
      <c r="A6" s="12"/>
      <c r="B6" s="44" t="s">
        <v>4</v>
      </c>
      <c r="C6" s="45"/>
      <c r="D6" s="46"/>
      <c r="E6" s="16">
        <v>15</v>
      </c>
      <c r="F6" s="7"/>
      <c r="G6" s="44" t="s">
        <v>14</v>
      </c>
      <c r="H6" s="45"/>
      <c r="I6" s="46"/>
      <c r="J6" s="42">
        <f>IF(AND(ISNUMBER(E4),ISNUMBER(E5),ISNUMBER(E6),ISNUMBER(E7)),VLOOKUP("Dec",C12:J23,7,0),"")</f>
        <v>3909.6099999999997</v>
      </c>
      <c r="K6" s="13"/>
      <c r="L6" s="13"/>
      <c r="M6" s="13"/>
      <c r="N6" s="14"/>
      <c r="O6" s="14"/>
      <c r="P6" s="14"/>
      <c r="Q6" s="13"/>
    </row>
    <row r="7" spans="1:17" ht="12" customHeight="1">
      <c r="A7" s="12"/>
      <c r="B7" s="44" t="s">
        <v>15</v>
      </c>
      <c r="C7" s="45"/>
      <c r="D7" s="46"/>
      <c r="E7" s="17">
        <v>2015</v>
      </c>
      <c r="F7" s="7"/>
      <c r="G7" s="44" t="s">
        <v>16</v>
      </c>
      <c r="H7" s="45"/>
      <c r="I7" s="46"/>
      <c r="J7" s="42">
        <f>IF(AND(ISNUMBER(E4),ISNUMBER(E5),ISNUMBER(E6),ISNUMBER(E7)),MAX(I23,H27:H56),"")</f>
        <v>33144.2</v>
      </c>
      <c r="K7" s="13"/>
      <c r="L7" s="13"/>
      <c r="M7" s="13"/>
      <c r="N7" s="14"/>
      <c r="O7" s="14"/>
      <c r="P7" s="14"/>
      <c r="Q7" s="13"/>
    </row>
    <row r="8" spans="1:17" ht="12" customHeight="1">
      <c r="A8" s="12"/>
      <c r="B8" s="44" t="s">
        <v>17</v>
      </c>
      <c r="C8" s="45"/>
      <c r="D8" s="46"/>
      <c r="E8" s="16">
        <v>1</v>
      </c>
      <c r="F8" s="7"/>
      <c r="G8" s="44" t="s">
        <v>18</v>
      </c>
      <c r="H8" s="45"/>
      <c r="I8" s="46"/>
      <c r="J8" s="42">
        <f>IF(AND(ISNUMBER(E4),ISNUMBER(E5),ISNUMBER(E6),ISNUMBER(E7)),J7+E4,"")</f>
        <v>133144.2</v>
      </c>
      <c r="K8" s="12"/>
      <c r="L8" s="13"/>
      <c r="M8" s="13"/>
      <c r="N8" s="14"/>
      <c r="O8" s="14"/>
      <c r="P8" s="14"/>
      <c r="Q8" s="13"/>
    </row>
    <row r="9" spans="1:17" ht="9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0"/>
      <c r="M9" s="10"/>
      <c r="N9" s="11"/>
      <c r="O9" s="11"/>
      <c r="P9" s="11"/>
      <c r="Q9" s="10"/>
    </row>
    <row r="10" spans="1:17" ht="18" customHeight="1">
      <c r="A10" s="7"/>
      <c r="B10" s="47" t="s">
        <v>19</v>
      </c>
      <c r="C10" s="48"/>
      <c r="D10" s="48"/>
      <c r="E10" s="48"/>
      <c r="F10" s="48"/>
      <c r="G10" s="48"/>
      <c r="H10" s="48"/>
      <c r="I10" s="48"/>
      <c r="J10" s="49"/>
      <c r="K10" s="7"/>
      <c r="L10" s="10"/>
      <c r="M10" s="10"/>
      <c r="N10" s="11"/>
      <c r="O10" s="11"/>
      <c r="P10" s="11"/>
      <c r="Q10" s="10"/>
    </row>
    <row r="11" spans="1:17" ht="27" customHeight="1">
      <c r="A11" s="18"/>
      <c r="B11" s="19" t="s">
        <v>20</v>
      </c>
      <c r="C11" s="20" t="s">
        <v>21</v>
      </c>
      <c r="D11" s="20" t="s">
        <v>5</v>
      </c>
      <c r="E11" s="20" t="s">
        <v>22</v>
      </c>
      <c r="F11" s="20" t="s">
        <v>23</v>
      </c>
      <c r="G11" s="20" t="s">
        <v>24</v>
      </c>
      <c r="H11" s="20" t="s">
        <v>25</v>
      </c>
      <c r="I11" s="20" t="s">
        <v>7</v>
      </c>
      <c r="J11" s="21" t="s">
        <v>6</v>
      </c>
      <c r="K11" s="18"/>
      <c r="L11" s="22"/>
      <c r="M11" s="22"/>
      <c r="N11" s="23"/>
      <c r="O11" s="23"/>
      <c r="P11" s="23"/>
      <c r="Q11" s="22"/>
    </row>
    <row r="12" spans="1:17" ht="11.25" customHeight="1">
      <c r="A12" s="12"/>
      <c r="B12" s="40">
        <f>IF(SUM(O192)=1,E7,"")</f>
        <v>2015</v>
      </c>
      <c r="C12" s="41" t="str">
        <f>VLOOKUP(O192,M192:N203,2)</f>
        <v>Jan</v>
      </c>
      <c r="D12" s="42">
        <f>IF(ISTEXT(J4),"",E4)</f>
        <v>100000</v>
      </c>
      <c r="E12" s="42">
        <f aca="true" t="shared" si="0" ref="E12:E23">IF(ISTEXT(J$5),"",J$5)</f>
        <v>739.69</v>
      </c>
      <c r="F12" s="42">
        <f aca="true" t="shared" si="1" ref="F12:F23">IF(ISTEXT(J$4),"",E12-G12)</f>
        <v>406.36000000000007</v>
      </c>
      <c r="G12" s="42">
        <f aca="true" t="shared" si="2" ref="G12:G23">IF(ISTEXT(J$4),"",ROUND(D12*(E$5/12),2))</f>
        <v>333.33</v>
      </c>
      <c r="H12" s="42">
        <f>IF(ISTEXT($J$4),"",SUM(F$12:F12))</f>
        <v>406.36000000000007</v>
      </c>
      <c r="I12" s="42">
        <f>IF(ISTEXT($J$4),"",SUM(G$12:G12))</f>
        <v>333.33</v>
      </c>
      <c r="J12" s="42">
        <f aca="true" t="shared" si="3" ref="J12:J23">IF(ISTEXT(J$4),"",D12-F12)</f>
        <v>99593.64</v>
      </c>
      <c r="K12" s="12"/>
      <c r="L12" s="13"/>
      <c r="M12" s="13"/>
      <c r="N12" s="14"/>
      <c r="O12" s="14"/>
      <c r="P12" s="14"/>
      <c r="Q12" s="13"/>
    </row>
    <row r="13" spans="1:17" ht="11.25" customHeight="1">
      <c r="A13" s="12"/>
      <c r="B13" s="40">
        <f>IF(O193=1,E7+1,"")</f>
      </c>
      <c r="C13" s="41" t="str">
        <f>VLOOKUP(O193,M192:N203,2)</f>
        <v>Feb</v>
      </c>
      <c r="D13" s="42">
        <f aca="true" t="shared" si="4" ref="D13:D23">IF(ISTEXT(J$4),"",J12)</f>
        <v>99593.64</v>
      </c>
      <c r="E13" s="42">
        <f t="shared" si="0"/>
        <v>739.69</v>
      </c>
      <c r="F13" s="42">
        <f t="shared" si="1"/>
        <v>407.71000000000004</v>
      </c>
      <c r="G13" s="42">
        <f t="shared" si="2"/>
        <v>331.98</v>
      </c>
      <c r="H13" s="42">
        <f>IF(ISTEXT($J$4),"",SUM(F$12:F13))</f>
        <v>814.0700000000002</v>
      </c>
      <c r="I13" s="42">
        <f>IF(ISTEXT($J$4),"",SUM(G$12:G13))</f>
        <v>665.31</v>
      </c>
      <c r="J13" s="42">
        <f t="shared" si="3"/>
        <v>99185.93</v>
      </c>
      <c r="K13" s="12"/>
      <c r="L13" s="13"/>
      <c r="M13" s="13"/>
      <c r="N13" s="14"/>
      <c r="O13" s="14"/>
      <c r="P13" s="14"/>
      <c r="Q13" s="13"/>
    </row>
    <row r="14" spans="1:17" ht="11.25" customHeight="1">
      <c r="A14" s="12"/>
      <c r="B14" s="40">
        <f>IF(O194=1,E7+1,"")</f>
      </c>
      <c r="C14" s="41" t="str">
        <f>VLOOKUP(O194,M192:N203,2)</f>
        <v>Mar</v>
      </c>
      <c r="D14" s="42">
        <f t="shared" si="4"/>
        <v>99185.93</v>
      </c>
      <c r="E14" s="42">
        <f t="shared" si="0"/>
        <v>739.69</v>
      </c>
      <c r="F14" s="42">
        <f t="shared" si="1"/>
        <v>409.07000000000005</v>
      </c>
      <c r="G14" s="42">
        <f t="shared" si="2"/>
        <v>330.62</v>
      </c>
      <c r="H14" s="42">
        <f>IF(ISTEXT($J$4),"",SUM(F$12:F14))</f>
        <v>1223.1400000000003</v>
      </c>
      <c r="I14" s="42">
        <f>IF(ISTEXT($J$4),"",SUM(G$12:G14))</f>
        <v>995.93</v>
      </c>
      <c r="J14" s="42">
        <f t="shared" si="3"/>
        <v>98776.85999999999</v>
      </c>
      <c r="K14" s="12"/>
      <c r="L14" s="13"/>
      <c r="M14" s="13"/>
      <c r="N14" s="14"/>
      <c r="O14" s="14"/>
      <c r="P14" s="14"/>
      <c r="Q14" s="13"/>
    </row>
    <row r="15" spans="1:17" ht="11.25" customHeight="1">
      <c r="A15" s="12"/>
      <c r="B15" s="40">
        <f>IF(O195=1,E7+1,"")</f>
      </c>
      <c r="C15" s="41" t="str">
        <f>VLOOKUP(O195,M192:N203,2)</f>
        <v>Apr</v>
      </c>
      <c r="D15" s="42">
        <f t="shared" si="4"/>
        <v>98776.85999999999</v>
      </c>
      <c r="E15" s="42">
        <f t="shared" si="0"/>
        <v>739.69</v>
      </c>
      <c r="F15" s="42">
        <f t="shared" si="1"/>
        <v>410.43000000000006</v>
      </c>
      <c r="G15" s="42">
        <f t="shared" si="2"/>
        <v>329.26</v>
      </c>
      <c r="H15" s="42">
        <f>IF(ISTEXT($J$4),"",SUM(F$12:F15))</f>
        <v>1633.5700000000004</v>
      </c>
      <c r="I15" s="42">
        <f>IF(ISTEXT($J$4),"",SUM(G$12:G15))</f>
        <v>1325.19</v>
      </c>
      <c r="J15" s="42">
        <f t="shared" si="3"/>
        <v>98366.43</v>
      </c>
      <c r="K15" s="12"/>
      <c r="L15" s="13"/>
      <c r="M15" s="13"/>
      <c r="N15" s="14"/>
      <c r="O15" s="14"/>
      <c r="P15" s="14"/>
      <c r="Q15" s="13"/>
    </row>
    <row r="16" spans="1:17" ht="11.25" customHeight="1">
      <c r="A16" s="12"/>
      <c r="B16" s="40">
        <f>IF(O196=1,E7+1,"")</f>
      </c>
      <c r="C16" s="41" t="str">
        <f>VLOOKUP(O196,M192:N203,2)</f>
        <v>May</v>
      </c>
      <c r="D16" s="42">
        <f t="shared" si="4"/>
        <v>98366.43</v>
      </c>
      <c r="E16" s="42">
        <f t="shared" si="0"/>
        <v>739.69</v>
      </c>
      <c r="F16" s="42">
        <f t="shared" si="1"/>
        <v>411.80000000000007</v>
      </c>
      <c r="G16" s="42">
        <f t="shared" si="2"/>
        <v>327.89</v>
      </c>
      <c r="H16" s="42">
        <f>IF(ISTEXT($J$4),"",SUM(F$12:F16))</f>
        <v>2045.3700000000003</v>
      </c>
      <c r="I16" s="42">
        <f>IF(ISTEXT($J$4),"",SUM(G$12:G16))</f>
        <v>1653.08</v>
      </c>
      <c r="J16" s="42">
        <f t="shared" si="3"/>
        <v>97954.62999999999</v>
      </c>
      <c r="K16" s="12"/>
      <c r="L16" s="13"/>
      <c r="M16" s="13"/>
      <c r="N16" s="14"/>
      <c r="O16" s="14"/>
      <c r="P16" s="14"/>
      <c r="Q16" s="13"/>
    </row>
    <row r="17" spans="1:17" ht="11.25" customHeight="1">
      <c r="A17" s="12"/>
      <c r="B17" s="40">
        <f>IF(O197=1,E7+1,"")</f>
      </c>
      <c r="C17" s="41" t="str">
        <f>VLOOKUP(O197,M192:N203,2)</f>
        <v>Jun</v>
      </c>
      <c r="D17" s="42">
        <f t="shared" si="4"/>
        <v>97954.62999999999</v>
      </c>
      <c r="E17" s="42">
        <f t="shared" si="0"/>
        <v>739.69</v>
      </c>
      <c r="F17" s="42">
        <f t="shared" si="1"/>
        <v>413.1700000000001</v>
      </c>
      <c r="G17" s="42">
        <f t="shared" si="2"/>
        <v>326.52</v>
      </c>
      <c r="H17" s="42">
        <f>IF(ISTEXT($J$4),"",SUM(F$12:F17))</f>
        <v>2458.5400000000004</v>
      </c>
      <c r="I17" s="42">
        <f>IF(ISTEXT($J$4),"",SUM(G$12:G17))</f>
        <v>1979.6</v>
      </c>
      <c r="J17" s="42">
        <f t="shared" si="3"/>
        <v>97541.45999999999</v>
      </c>
      <c r="K17" s="12"/>
      <c r="L17" s="13"/>
      <c r="M17" s="13"/>
      <c r="N17" s="14"/>
      <c r="O17" s="14"/>
      <c r="P17" s="14"/>
      <c r="Q17" s="13"/>
    </row>
    <row r="18" spans="1:17" ht="11.25" customHeight="1">
      <c r="A18" s="12"/>
      <c r="B18" s="40">
        <f>IF(O198=1,E7+1,"")</f>
      </c>
      <c r="C18" s="41" t="str">
        <f>VLOOKUP(O198,M192:N203,2)</f>
        <v>Jul</v>
      </c>
      <c r="D18" s="42">
        <f t="shared" si="4"/>
        <v>97541.45999999999</v>
      </c>
      <c r="E18" s="42">
        <f t="shared" si="0"/>
        <v>739.69</v>
      </c>
      <c r="F18" s="42">
        <f t="shared" si="1"/>
        <v>414.55000000000007</v>
      </c>
      <c r="G18" s="42">
        <f t="shared" si="2"/>
        <v>325.14</v>
      </c>
      <c r="H18" s="42">
        <f>IF(ISTEXT($J$4),"",SUM(F$12:F18))</f>
        <v>2873.0900000000006</v>
      </c>
      <c r="I18" s="42">
        <f>IF(ISTEXT($J$4),"",SUM(G$12:G18))</f>
        <v>2304.74</v>
      </c>
      <c r="J18" s="42">
        <f t="shared" si="3"/>
        <v>97126.90999999999</v>
      </c>
      <c r="K18" s="12"/>
      <c r="L18" s="13"/>
      <c r="M18" s="13"/>
      <c r="N18" s="14"/>
      <c r="O18" s="14"/>
      <c r="P18" s="14"/>
      <c r="Q18" s="13"/>
    </row>
    <row r="19" spans="1:17" ht="11.25" customHeight="1">
      <c r="A19" s="12"/>
      <c r="B19" s="40">
        <f>IF(O199=1,E7+1,"")</f>
      </c>
      <c r="C19" s="41" t="str">
        <f>VLOOKUP(O199,M192:N203,2)</f>
        <v>Aug</v>
      </c>
      <c r="D19" s="42">
        <f t="shared" si="4"/>
        <v>97126.90999999999</v>
      </c>
      <c r="E19" s="42">
        <f t="shared" si="0"/>
        <v>739.69</v>
      </c>
      <c r="F19" s="42">
        <f t="shared" si="1"/>
        <v>415.93000000000006</v>
      </c>
      <c r="G19" s="42">
        <f t="shared" si="2"/>
        <v>323.76</v>
      </c>
      <c r="H19" s="42">
        <f>IF(ISTEXT($J$4),"",SUM(F$12:F19))</f>
        <v>3289.0200000000004</v>
      </c>
      <c r="I19" s="42">
        <f>IF(ISTEXT($J$4),"",SUM(G$12:G19))</f>
        <v>2628.5</v>
      </c>
      <c r="J19" s="42">
        <f t="shared" si="3"/>
        <v>96710.98</v>
      </c>
      <c r="K19" s="12"/>
      <c r="L19" s="13"/>
      <c r="M19" s="13"/>
      <c r="N19" s="14"/>
      <c r="O19" s="14"/>
      <c r="P19" s="14"/>
      <c r="Q19" s="13"/>
    </row>
    <row r="20" spans="1:17" ht="11.25" customHeight="1">
      <c r="A20" s="12"/>
      <c r="B20" s="40">
        <f>IF(O200=1,E7+1,"")</f>
      </c>
      <c r="C20" s="41" t="str">
        <f>VLOOKUP(O200,M192:N203,2)</f>
        <v>Sep</v>
      </c>
      <c r="D20" s="42">
        <f t="shared" si="4"/>
        <v>96710.98</v>
      </c>
      <c r="E20" s="42">
        <f t="shared" si="0"/>
        <v>739.69</v>
      </c>
      <c r="F20" s="42">
        <f t="shared" si="1"/>
        <v>417.32000000000005</v>
      </c>
      <c r="G20" s="42">
        <f t="shared" si="2"/>
        <v>322.37</v>
      </c>
      <c r="H20" s="42">
        <f>IF(ISTEXT($J$4),"",SUM(F$12:F20))</f>
        <v>3706.3400000000006</v>
      </c>
      <c r="I20" s="42">
        <f>IF(ISTEXT($J$4),"",SUM(G$12:G20))</f>
        <v>2950.87</v>
      </c>
      <c r="J20" s="42">
        <f t="shared" si="3"/>
        <v>96293.65999999999</v>
      </c>
      <c r="K20" s="12"/>
      <c r="L20" s="13"/>
      <c r="M20" s="13"/>
      <c r="N20" s="14"/>
      <c r="O20" s="14"/>
      <c r="P20" s="14"/>
      <c r="Q20" s="13"/>
    </row>
    <row r="21" spans="1:17" ht="11.25" customHeight="1">
      <c r="A21" s="12"/>
      <c r="B21" s="40">
        <f>IF(O201=1,E7+1,"")</f>
      </c>
      <c r="C21" s="40" t="str">
        <f>VLOOKUP(O201,M192:N203,2)</f>
        <v>Oct</v>
      </c>
      <c r="D21" s="42">
        <f t="shared" si="4"/>
        <v>96293.65999999999</v>
      </c>
      <c r="E21" s="42">
        <f t="shared" si="0"/>
        <v>739.69</v>
      </c>
      <c r="F21" s="42">
        <f t="shared" si="1"/>
        <v>418.71000000000004</v>
      </c>
      <c r="G21" s="42">
        <f t="shared" si="2"/>
        <v>320.98</v>
      </c>
      <c r="H21" s="42">
        <f>IF(ISTEXT($J$4),"",SUM(F$12:F21))</f>
        <v>4125.050000000001</v>
      </c>
      <c r="I21" s="42">
        <f>IF(ISTEXT($J$4),"",SUM(G$12:G21))</f>
        <v>3271.85</v>
      </c>
      <c r="J21" s="42">
        <f t="shared" si="3"/>
        <v>95874.94999999998</v>
      </c>
      <c r="K21" s="12"/>
      <c r="L21" s="13"/>
      <c r="M21" s="13"/>
      <c r="N21" s="14"/>
      <c r="O21" s="14"/>
      <c r="P21" s="14"/>
      <c r="Q21" s="13"/>
    </row>
    <row r="22" spans="1:17" ht="11.25" customHeight="1">
      <c r="A22" s="12"/>
      <c r="B22" s="40">
        <f>IF(O202=1,E7+1,"")</f>
      </c>
      <c r="C22" s="41" t="str">
        <f>VLOOKUP(O202,M192:N203,2)</f>
        <v>Nov</v>
      </c>
      <c r="D22" s="42">
        <f t="shared" si="4"/>
        <v>95874.94999999998</v>
      </c>
      <c r="E22" s="42">
        <f t="shared" si="0"/>
        <v>739.69</v>
      </c>
      <c r="F22" s="42">
        <f t="shared" si="1"/>
        <v>420.11000000000007</v>
      </c>
      <c r="G22" s="42">
        <f t="shared" si="2"/>
        <v>319.58</v>
      </c>
      <c r="H22" s="42">
        <f>IF(ISTEXT($J$4),"",SUM(F$12:F22))</f>
        <v>4545.160000000001</v>
      </c>
      <c r="I22" s="42">
        <f>IF(ISTEXT($J$4),"",SUM(G$12:G22))</f>
        <v>3591.43</v>
      </c>
      <c r="J22" s="42">
        <f t="shared" si="3"/>
        <v>95454.83999999998</v>
      </c>
      <c r="K22" s="12"/>
      <c r="L22" s="13"/>
      <c r="M22" s="13"/>
      <c r="N22" s="14"/>
      <c r="O22" s="14"/>
      <c r="P22" s="14"/>
      <c r="Q22" s="13"/>
    </row>
    <row r="23" spans="1:17" ht="11.25" customHeight="1">
      <c r="A23" s="12"/>
      <c r="B23" s="40">
        <f>IF(O203=1,E7+1,"")</f>
      </c>
      <c r="C23" s="41" t="str">
        <f>VLOOKUP(O203,M192:N203,2)</f>
        <v>Dec</v>
      </c>
      <c r="D23" s="42">
        <f t="shared" si="4"/>
        <v>95454.83999999998</v>
      </c>
      <c r="E23" s="42">
        <f t="shared" si="0"/>
        <v>739.69</v>
      </c>
      <c r="F23" s="42">
        <f t="shared" si="1"/>
        <v>421.51000000000005</v>
      </c>
      <c r="G23" s="42">
        <f t="shared" si="2"/>
        <v>318.18</v>
      </c>
      <c r="H23" s="42">
        <f>IF(ISTEXT($J$4),"",SUM(F$12:F23))</f>
        <v>4966.670000000001</v>
      </c>
      <c r="I23" s="42">
        <f>IF(ISTEXT($J$4),"",SUM(G$12:G23))</f>
        <v>3909.6099999999997</v>
      </c>
      <c r="J23" s="42">
        <f t="shared" si="3"/>
        <v>95033.32999999999</v>
      </c>
      <c r="K23" s="12"/>
      <c r="L23" s="13"/>
      <c r="M23" s="13"/>
      <c r="N23" s="14"/>
      <c r="O23" s="14"/>
      <c r="P23" s="14"/>
      <c r="Q23" s="13"/>
    </row>
    <row r="24" spans="1:17" ht="9.75" customHeight="1">
      <c r="A24" s="7"/>
      <c r="B24" s="7"/>
      <c r="C24" s="7"/>
      <c r="D24" s="24"/>
      <c r="E24" s="7"/>
      <c r="F24" s="7"/>
      <c r="G24" s="7"/>
      <c r="H24" s="7"/>
      <c r="I24" s="7"/>
      <c r="J24" s="7"/>
      <c r="K24" s="7"/>
      <c r="L24" s="10"/>
      <c r="M24" s="10"/>
      <c r="N24" s="11"/>
      <c r="O24" s="11"/>
      <c r="P24" s="11"/>
      <c r="Q24" s="10"/>
    </row>
    <row r="25" spans="1:17" ht="18" customHeight="1">
      <c r="A25" s="7"/>
      <c r="B25" s="47" t="s">
        <v>26</v>
      </c>
      <c r="C25" s="48"/>
      <c r="D25" s="48"/>
      <c r="E25" s="48"/>
      <c r="F25" s="48"/>
      <c r="G25" s="48"/>
      <c r="H25" s="48"/>
      <c r="I25" s="49"/>
      <c r="J25" s="7"/>
      <c r="K25" s="7"/>
      <c r="L25" s="10"/>
      <c r="M25" s="10"/>
      <c r="N25" s="11"/>
      <c r="O25" s="11"/>
      <c r="P25" s="11"/>
      <c r="Q25" s="10"/>
    </row>
    <row r="26" spans="1:17" ht="27" customHeight="1">
      <c r="A26" s="18"/>
      <c r="B26" s="19" t="s">
        <v>20</v>
      </c>
      <c r="C26" s="20" t="s">
        <v>5</v>
      </c>
      <c r="D26" s="20" t="s">
        <v>8</v>
      </c>
      <c r="E26" s="20" t="s">
        <v>1</v>
      </c>
      <c r="F26" s="20" t="s">
        <v>0</v>
      </c>
      <c r="G26" s="25" t="s">
        <v>25</v>
      </c>
      <c r="H26" s="20" t="s">
        <v>7</v>
      </c>
      <c r="I26" s="26" t="s">
        <v>6</v>
      </c>
      <c r="J26" s="22"/>
      <c r="K26" s="18"/>
      <c r="L26" s="22"/>
      <c r="M26" s="22"/>
      <c r="N26" s="23"/>
      <c r="O26" s="23"/>
      <c r="P26" s="23"/>
      <c r="Q26" s="22"/>
    </row>
    <row r="27" spans="1:17" ht="11.25" customHeight="1">
      <c r="A27" s="12"/>
      <c r="B27" s="40">
        <f>IF(NOT(ISNUMBER(E7)),"",IF(C12="Jan",1+E7,MAX(B12:B23)))</f>
        <v>2016</v>
      </c>
      <c r="C27" s="43">
        <f>IF(ISTEXT(B27),"",INDEX(J12:J23,13-O192,1))</f>
        <v>95033.32999999999</v>
      </c>
      <c r="D27" s="43">
        <f>IF(ISTEXT(B27),"",J$5*12)</f>
        <v>8876.28</v>
      </c>
      <c r="E27" s="43">
        <f>IF(ISTEXT(B27),"",C27-I27)</f>
        <v>5168.734964139396</v>
      </c>
      <c r="F27" s="43">
        <f>IF(ISTEXT(B27),"",D27-E27)</f>
        <v>3707.545035860605</v>
      </c>
      <c r="G27" s="43">
        <f>IF(ISTEXT(B27),"",E4-I27)</f>
        <v>10135.404964139409</v>
      </c>
      <c r="H27" s="43">
        <f>IF(ISTEXT(B27),"",IF(Q212&lt;12,(24-Q212)*J5-G27,24*J5-G27))</f>
        <v>7617.155035860593</v>
      </c>
      <c r="I27" s="43">
        <f aca="true" t="shared" si="5" ref="I27:I56">IF(ISTEXT(B27),"",IF(B27=Q$211,0,IF(ISTEXT(B27),"",PV(E$5/12,N205,-J$5))))</f>
        <v>89864.59503586059</v>
      </c>
      <c r="J27" s="13"/>
      <c r="K27" s="12"/>
      <c r="L27" s="13"/>
      <c r="M27" s="13"/>
      <c r="N27" s="14"/>
      <c r="O27" s="14"/>
      <c r="P27" s="14"/>
      <c r="Q27" s="13"/>
    </row>
    <row r="28" spans="1:17" ht="11.25" customHeight="1">
      <c r="A28" s="12"/>
      <c r="B28" s="40">
        <f>IF(ISTEXT(B27),"",IF(MAX(B$27:B27)=Q$211,"",B27+1))</f>
        <v>2017</v>
      </c>
      <c r="C28" s="43">
        <f>IF(ISTEXT(B28),"",I27)</f>
        <v>89864.59503586059</v>
      </c>
      <c r="D28" s="43">
        <f aca="true" t="shared" si="6" ref="D28:D56">IF(ISTEXT(B28),"",J$5*MIN(12,N205))</f>
        <v>8876.28</v>
      </c>
      <c r="E28" s="43">
        <f>IF(ISTEXT(B28),"",C28-I28)</f>
        <v>5379.6113090789</v>
      </c>
      <c r="F28" s="43">
        <f>IF(ISTEXT(B28),"",D28-E28)</f>
        <v>3496.6686909211003</v>
      </c>
      <c r="G28" s="43">
        <f aca="true" t="shared" si="7" ref="G28:H56">IF(ISTEXT(B28),"",G27+E28)</f>
        <v>15515.016273218309</v>
      </c>
      <c r="H28" s="43">
        <f t="shared" si="7"/>
        <v>11113.823726781693</v>
      </c>
      <c r="I28" s="43">
        <f t="shared" si="5"/>
        <v>84484.98372678169</v>
      </c>
      <c r="J28" s="13"/>
      <c r="K28" s="12"/>
      <c r="L28" s="13"/>
      <c r="M28" s="13"/>
      <c r="N28" s="14"/>
      <c r="O28" s="14"/>
      <c r="P28" s="14"/>
      <c r="Q28" s="13"/>
    </row>
    <row r="29" spans="1:17" ht="11.25" customHeight="1">
      <c r="A29" s="12"/>
      <c r="B29" s="40">
        <f>IF(ISTEXT(B28),"",IF(MAX(B$27:B28)=Q$211,"",B28+1))</f>
        <v>2018</v>
      </c>
      <c r="C29" s="43">
        <f aca="true" t="shared" si="8" ref="C29:C56">IF(ISTEXT(B29),"",I28)</f>
        <v>84484.98372678169</v>
      </c>
      <c r="D29" s="43">
        <f t="shared" si="6"/>
        <v>8876.28</v>
      </c>
      <c r="E29" s="43">
        <f aca="true" t="shared" si="9" ref="E29:E56">IF(ISTEXT(B29),"",C29-I29)</f>
        <v>5598.78497411951</v>
      </c>
      <c r="F29" s="43">
        <f aca="true" t="shared" si="10" ref="F29:F56">IF(ISTEXT(B29),"",D29-E29)</f>
        <v>3277.495025880491</v>
      </c>
      <c r="G29" s="43">
        <f t="shared" si="7"/>
        <v>21113.80124733782</v>
      </c>
      <c r="H29" s="43">
        <f t="shared" si="7"/>
        <v>14391.318752662184</v>
      </c>
      <c r="I29" s="43">
        <f t="shared" si="5"/>
        <v>78886.19875266218</v>
      </c>
      <c r="J29" s="13"/>
      <c r="K29" s="12"/>
      <c r="L29" s="13"/>
      <c r="M29" s="13"/>
      <c r="N29" s="14"/>
      <c r="O29" s="14"/>
      <c r="P29" s="14"/>
      <c r="Q29" s="13"/>
    </row>
    <row r="30" spans="1:17" ht="11.25" customHeight="1">
      <c r="A30" s="12"/>
      <c r="B30" s="40">
        <f>IF(ISTEXT(B29),"",IF(MAX(B$27:B29)=Q$211,"",B29+1))</f>
        <v>2019</v>
      </c>
      <c r="C30" s="43">
        <f t="shared" si="8"/>
        <v>78886.19875266218</v>
      </c>
      <c r="D30" s="43">
        <f t="shared" si="6"/>
        <v>8876.28</v>
      </c>
      <c r="E30" s="43">
        <f t="shared" si="9"/>
        <v>5826.888112441273</v>
      </c>
      <c r="F30" s="43">
        <f t="shared" si="10"/>
        <v>3049.391887558728</v>
      </c>
      <c r="G30" s="43">
        <f t="shared" si="7"/>
        <v>26940.68935977909</v>
      </c>
      <c r="H30" s="43">
        <f t="shared" si="7"/>
        <v>17440.71064022091</v>
      </c>
      <c r="I30" s="43">
        <f t="shared" si="5"/>
        <v>73059.31064022091</v>
      </c>
      <c r="J30" s="13"/>
      <c r="K30" s="12"/>
      <c r="L30" s="13"/>
      <c r="M30" s="13"/>
      <c r="N30" s="14"/>
      <c r="O30" s="14"/>
      <c r="P30" s="14"/>
      <c r="Q30" s="13"/>
    </row>
    <row r="31" spans="1:17" ht="11.25" customHeight="1">
      <c r="A31" s="12"/>
      <c r="B31" s="40">
        <f>IF(ISTEXT(B30),"",IF(MAX(B$27:B30)=Q$211,"",B30+1))</f>
        <v>2020</v>
      </c>
      <c r="C31" s="43">
        <f t="shared" si="8"/>
        <v>73059.31064022091</v>
      </c>
      <c r="D31" s="43">
        <f t="shared" si="6"/>
        <v>8876.28</v>
      </c>
      <c r="E31" s="43">
        <f t="shared" si="9"/>
        <v>6064.284524563132</v>
      </c>
      <c r="F31" s="43">
        <f t="shared" si="10"/>
        <v>2811.995475436868</v>
      </c>
      <c r="G31" s="43">
        <f t="shared" si="7"/>
        <v>33004.973884342224</v>
      </c>
      <c r="H31" s="43">
        <f t="shared" si="7"/>
        <v>20252.706115657777</v>
      </c>
      <c r="I31" s="43">
        <f t="shared" si="5"/>
        <v>66995.02611565778</v>
      </c>
      <c r="J31" s="13"/>
      <c r="K31" s="12"/>
      <c r="L31" s="13"/>
      <c r="M31" s="13"/>
      <c r="N31" s="14"/>
      <c r="O31" s="14"/>
      <c r="P31" s="14"/>
      <c r="Q31" s="13"/>
    </row>
    <row r="32" spans="1:17" ht="11.25" customHeight="1">
      <c r="A32" s="12"/>
      <c r="B32" s="40">
        <f>IF(ISTEXT(B31),"",IF(MAX(B$27:B31)=Q$211,"",B31+1))</f>
        <v>2021</v>
      </c>
      <c r="C32" s="43">
        <f t="shared" si="8"/>
        <v>66995.02611565778</v>
      </c>
      <c r="D32" s="43">
        <f t="shared" si="6"/>
        <v>8876.28</v>
      </c>
      <c r="E32" s="43">
        <f t="shared" si="9"/>
        <v>6311.352832798424</v>
      </c>
      <c r="F32" s="43">
        <f t="shared" si="10"/>
        <v>2564.9271672015766</v>
      </c>
      <c r="G32" s="43">
        <f t="shared" si="7"/>
        <v>39316.32671714065</v>
      </c>
      <c r="H32" s="43">
        <f t="shared" si="7"/>
        <v>22817.63328285935</v>
      </c>
      <c r="I32" s="43">
        <f t="shared" si="5"/>
        <v>60683.67328285935</v>
      </c>
      <c r="J32" s="13"/>
      <c r="K32" s="12"/>
      <c r="L32" s="13"/>
      <c r="M32" s="13"/>
      <c r="N32" s="14"/>
      <c r="O32" s="14"/>
      <c r="P32" s="14"/>
      <c r="Q32" s="13"/>
    </row>
    <row r="33" spans="1:17" ht="11.25" customHeight="1">
      <c r="A33" s="12"/>
      <c r="B33" s="40">
        <f>IF(ISTEXT(B32),"",IF(MAX(B$27:B32)=Q$211,"",B32+1))</f>
        <v>2022</v>
      </c>
      <c r="C33" s="43">
        <f t="shared" si="8"/>
        <v>60683.67328285935</v>
      </c>
      <c r="D33" s="43">
        <f t="shared" si="6"/>
        <v>8876.28</v>
      </c>
      <c r="E33" s="43">
        <f t="shared" si="9"/>
        <v>6568.487085117813</v>
      </c>
      <c r="F33" s="43">
        <f t="shared" si="10"/>
        <v>2307.7929148821877</v>
      </c>
      <c r="G33" s="43">
        <f t="shared" si="7"/>
        <v>45884.81380225846</v>
      </c>
      <c r="H33" s="43">
        <f t="shared" si="7"/>
        <v>25125.426197741537</v>
      </c>
      <c r="I33" s="43">
        <f t="shared" si="5"/>
        <v>54115.18619774154</v>
      </c>
      <c r="J33" s="13"/>
      <c r="K33" s="12"/>
      <c r="L33" s="13"/>
      <c r="M33" s="13"/>
      <c r="N33" s="14"/>
      <c r="O33" s="14"/>
      <c r="P33" s="14"/>
      <c r="Q33" s="13"/>
    </row>
    <row r="34" spans="1:17" ht="11.25" customHeight="1">
      <c r="A34" s="12"/>
      <c r="B34" s="40">
        <f>IF(ISTEXT(B33),"",IF(MAX(B$27:B33)=Q$211,"",B33+1))</f>
        <v>2023</v>
      </c>
      <c r="C34" s="43">
        <f t="shared" si="8"/>
        <v>54115.18619774154</v>
      </c>
      <c r="D34" s="43">
        <f t="shared" si="6"/>
        <v>8876.28</v>
      </c>
      <c r="E34" s="43">
        <f t="shared" si="9"/>
        <v>6836.097383614266</v>
      </c>
      <c r="F34" s="43">
        <f t="shared" si="10"/>
        <v>2040.182616385735</v>
      </c>
      <c r="G34" s="43">
        <f t="shared" si="7"/>
        <v>52720.91118587273</v>
      </c>
      <c r="H34" s="43">
        <f t="shared" si="7"/>
        <v>27165.60881412727</v>
      </c>
      <c r="I34" s="43">
        <f t="shared" si="5"/>
        <v>47279.08881412727</v>
      </c>
      <c r="J34" s="13"/>
      <c r="K34" s="12"/>
      <c r="L34" s="13"/>
      <c r="M34" s="13"/>
      <c r="N34" s="14"/>
      <c r="O34" s="14"/>
      <c r="P34" s="14"/>
      <c r="Q34" s="13"/>
    </row>
    <row r="35" spans="1:17" ht="11.25" customHeight="1">
      <c r="A35" s="12"/>
      <c r="B35" s="40">
        <f>IF(ISTEXT(B34),"",IF(MAX(B$27:B34)=Q$211,"",B34+1))</f>
        <v>2024</v>
      </c>
      <c r="C35" s="43">
        <f t="shared" si="8"/>
        <v>47279.08881412727</v>
      </c>
      <c r="D35" s="43">
        <f t="shared" si="6"/>
        <v>8876.28</v>
      </c>
      <c r="E35" s="43">
        <f t="shared" si="9"/>
        <v>7114.6105385726405</v>
      </c>
      <c r="F35" s="43">
        <f t="shared" si="10"/>
        <v>1761.6694614273601</v>
      </c>
      <c r="G35" s="43">
        <f t="shared" si="7"/>
        <v>59835.52172444537</v>
      </c>
      <c r="H35" s="43">
        <f t="shared" si="7"/>
        <v>28927.27827555463</v>
      </c>
      <c r="I35" s="43">
        <f t="shared" si="5"/>
        <v>40164.47827555463</v>
      </c>
      <c r="J35" s="13"/>
      <c r="K35" s="12"/>
      <c r="L35" s="13"/>
      <c r="M35" s="13"/>
      <c r="N35" s="14"/>
      <c r="O35" s="14"/>
      <c r="P35" s="14"/>
      <c r="Q35" s="13"/>
    </row>
    <row r="36" spans="1:17" ht="11.25" customHeight="1">
      <c r="A36" s="12"/>
      <c r="B36" s="40">
        <f>IF(ISTEXT(B35),"",IF(MAX(B$27:B35)=Q$211,"",B35+1))</f>
        <v>2025</v>
      </c>
      <c r="C36" s="43">
        <f t="shared" si="8"/>
        <v>40164.47827555463</v>
      </c>
      <c r="D36" s="43">
        <f t="shared" si="6"/>
        <v>8876.28</v>
      </c>
      <c r="E36" s="43">
        <f t="shared" si="9"/>
        <v>7404.470749187487</v>
      </c>
      <c r="F36" s="43">
        <f t="shared" si="10"/>
        <v>1471.8092508125137</v>
      </c>
      <c r="G36" s="43">
        <f t="shared" si="7"/>
        <v>67239.99247363285</v>
      </c>
      <c r="H36" s="43">
        <f t="shared" si="7"/>
        <v>30399.08752636714</v>
      </c>
      <c r="I36" s="43">
        <f t="shared" si="5"/>
        <v>32760.007526367146</v>
      </c>
      <c r="J36" s="13"/>
      <c r="K36" s="12"/>
      <c r="L36" s="13"/>
      <c r="M36" s="13"/>
      <c r="N36" s="14"/>
      <c r="O36" s="14"/>
      <c r="P36" s="14"/>
      <c r="Q36" s="13"/>
    </row>
    <row r="37" spans="1:17" ht="11.25" customHeight="1">
      <c r="A37" s="12"/>
      <c r="B37" s="40">
        <f>IF(ISTEXT(B36),"",IF(MAX(B$27:B36)=Q$211,"",B36+1))</f>
        <v>2026</v>
      </c>
      <c r="C37" s="43">
        <f t="shared" si="8"/>
        <v>32760.007526367146</v>
      </c>
      <c r="D37" s="43">
        <f t="shared" si="6"/>
        <v>8876.28</v>
      </c>
      <c r="E37" s="43">
        <f t="shared" si="9"/>
        <v>7706.140312013878</v>
      </c>
      <c r="F37" s="43">
        <f t="shared" si="10"/>
        <v>1170.1396879861222</v>
      </c>
      <c r="G37" s="43">
        <f t="shared" si="7"/>
        <v>74946.13278564674</v>
      </c>
      <c r="H37" s="43">
        <f t="shared" si="7"/>
        <v>31569.22721435326</v>
      </c>
      <c r="I37" s="43">
        <f t="shared" si="5"/>
        <v>25053.867214353268</v>
      </c>
      <c r="J37" s="13"/>
      <c r="K37" s="12"/>
      <c r="L37" s="13"/>
      <c r="M37" s="13"/>
      <c r="N37" s="14"/>
      <c r="O37" s="14"/>
      <c r="P37" s="14"/>
      <c r="Q37" s="13"/>
    </row>
    <row r="38" spans="1:17" ht="11.25" customHeight="1">
      <c r="A38" s="12"/>
      <c r="B38" s="40">
        <f>IF(ISTEXT(B37),"",IF(MAX(B$27:B37)=Q$211,"",B37+1))</f>
        <v>2027</v>
      </c>
      <c r="C38" s="43">
        <f t="shared" si="8"/>
        <v>25053.867214353268</v>
      </c>
      <c r="D38" s="43">
        <f t="shared" si="6"/>
        <v>8876.28</v>
      </c>
      <c r="E38" s="43">
        <f t="shared" si="9"/>
        <v>8020.100358281685</v>
      </c>
      <c r="F38" s="43">
        <f t="shared" si="10"/>
        <v>856.1796417183159</v>
      </c>
      <c r="G38" s="43">
        <f t="shared" si="7"/>
        <v>82966.23314392843</v>
      </c>
      <c r="H38" s="43">
        <f t="shared" si="7"/>
        <v>32425.406856071575</v>
      </c>
      <c r="I38" s="43">
        <f t="shared" si="5"/>
        <v>17033.766856071583</v>
      </c>
      <c r="J38" s="13"/>
      <c r="K38" s="12"/>
      <c r="L38" s="13"/>
      <c r="M38" s="13"/>
      <c r="N38" s="14"/>
      <c r="O38" s="14"/>
      <c r="P38" s="14"/>
      <c r="Q38" s="13"/>
    </row>
    <row r="39" spans="1:17" ht="11.25" customHeight="1">
      <c r="A39" s="12"/>
      <c r="B39" s="40">
        <f>IF(ISTEXT(B38),"",IF(MAX(B$27:B38)=Q$211,"",B38+1))</f>
        <v>2028</v>
      </c>
      <c r="C39" s="43">
        <f t="shared" si="8"/>
        <v>17033.766856071583</v>
      </c>
      <c r="D39" s="43">
        <f t="shared" si="6"/>
        <v>8876.28</v>
      </c>
      <c r="E39" s="43">
        <f t="shared" si="9"/>
        <v>8346.851621249645</v>
      </c>
      <c r="F39" s="43">
        <f t="shared" si="10"/>
        <v>529.4283787503555</v>
      </c>
      <c r="G39" s="43">
        <f t="shared" si="7"/>
        <v>91313.08476517808</v>
      </c>
      <c r="H39" s="43">
        <f t="shared" si="7"/>
        <v>32954.835234821934</v>
      </c>
      <c r="I39" s="43">
        <f t="shared" si="5"/>
        <v>8686.915234821938</v>
      </c>
      <c r="J39" s="13"/>
      <c r="K39" s="12"/>
      <c r="L39" s="13"/>
      <c r="M39" s="13"/>
      <c r="N39" s="14"/>
      <c r="O39" s="14"/>
      <c r="P39" s="14"/>
      <c r="Q39" s="13"/>
    </row>
    <row r="40" spans="1:17" ht="11.25" customHeight="1">
      <c r="A40" s="12"/>
      <c r="B40" s="40">
        <f>IF(ISTEXT(B39),"",IF(MAX(B$27:B39)=Q$211,"",B39+1))</f>
        <v>2029</v>
      </c>
      <c r="C40" s="43">
        <f t="shared" si="8"/>
        <v>8686.915234821938</v>
      </c>
      <c r="D40" s="43">
        <f t="shared" si="6"/>
        <v>8876.28</v>
      </c>
      <c r="E40" s="43">
        <f t="shared" si="9"/>
        <v>8686.915234821938</v>
      </c>
      <c r="F40" s="43">
        <f t="shared" si="10"/>
        <v>189.36476517806295</v>
      </c>
      <c r="G40" s="43">
        <f t="shared" si="7"/>
        <v>100000.00000000001</v>
      </c>
      <c r="H40" s="43">
        <f t="shared" si="7"/>
        <v>33144.2</v>
      </c>
      <c r="I40" s="43">
        <f t="shared" si="5"/>
        <v>0</v>
      </c>
      <c r="J40" s="13"/>
      <c r="K40" s="12"/>
      <c r="L40" s="13"/>
      <c r="M40" s="13"/>
      <c r="N40" s="14"/>
      <c r="O40" s="14"/>
      <c r="P40" s="14"/>
      <c r="Q40" s="13"/>
    </row>
    <row r="41" spans="1:17" ht="11.25" customHeight="1">
      <c r="A41" s="12"/>
      <c r="B41" s="40">
        <f>IF(ISTEXT(B40),"",IF(MAX(B$27:B40)=Q$211,"",B40+1))</f>
      </c>
      <c r="C41" s="43">
        <f t="shared" si="8"/>
      </c>
      <c r="D41" s="43">
        <f t="shared" si="6"/>
      </c>
      <c r="E41" s="43">
        <f t="shared" si="9"/>
      </c>
      <c r="F41" s="43">
        <f t="shared" si="10"/>
      </c>
      <c r="G41" s="43">
        <f t="shared" si="7"/>
      </c>
      <c r="H41" s="43">
        <f t="shared" si="7"/>
      </c>
      <c r="I41" s="43">
        <f t="shared" si="5"/>
      </c>
      <c r="J41" s="13"/>
      <c r="K41" s="12"/>
      <c r="L41" s="13"/>
      <c r="M41" s="13"/>
      <c r="N41" s="14"/>
      <c r="O41" s="14"/>
      <c r="P41" s="14"/>
      <c r="Q41" s="13"/>
    </row>
    <row r="42" spans="1:17" ht="11.25" customHeight="1">
      <c r="A42" s="12"/>
      <c r="B42" s="40">
        <f>IF(ISTEXT(B41),"",IF(MAX(B$27:B41)=Q$211,"",B41+1))</f>
      </c>
      <c r="C42" s="43">
        <f t="shared" si="8"/>
      </c>
      <c r="D42" s="43">
        <f t="shared" si="6"/>
      </c>
      <c r="E42" s="43">
        <f t="shared" si="9"/>
      </c>
      <c r="F42" s="43">
        <f t="shared" si="10"/>
      </c>
      <c r="G42" s="43">
        <f t="shared" si="7"/>
      </c>
      <c r="H42" s="43">
        <f t="shared" si="7"/>
      </c>
      <c r="I42" s="43">
        <f t="shared" si="5"/>
      </c>
      <c r="J42" s="13"/>
      <c r="K42" s="12"/>
      <c r="L42" s="13"/>
      <c r="M42" s="13"/>
      <c r="N42" s="14"/>
      <c r="O42" s="14"/>
      <c r="P42" s="14"/>
      <c r="Q42" s="13"/>
    </row>
    <row r="43" spans="1:17" ht="11.25" customHeight="1">
      <c r="A43" s="12"/>
      <c r="B43" s="40">
        <f>IF(ISTEXT(B42),"",IF(MAX(B$27:B42)=Q$211,"",B42+1))</f>
      </c>
      <c r="C43" s="43">
        <f t="shared" si="8"/>
      </c>
      <c r="D43" s="43">
        <f t="shared" si="6"/>
      </c>
      <c r="E43" s="43">
        <f t="shared" si="9"/>
      </c>
      <c r="F43" s="43">
        <f t="shared" si="10"/>
      </c>
      <c r="G43" s="43">
        <f t="shared" si="7"/>
      </c>
      <c r="H43" s="43">
        <f t="shared" si="7"/>
      </c>
      <c r="I43" s="43">
        <f t="shared" si="5"/>
      </c>
      <c r="J43" s="13"/>
      <c r="K43" s="12"/>
      <c r="L43" s="13"/>
      <c r="M43" s="13"/>
      <c r="N43" s="14"/>
      <c r="O43" s="14"/>
      <c r="P43" s="14"/>
      <c r="Q43" s="13"/>
    </row>
    <row r="44" spans="1:17" ht="11.25" customHeight="1">
      <c r="A44" s="12"/>
      <c r="B44" s="40">
        <f>IF(ISTEXT(B43),"",IF(MAX(B$27:B43)=Q$211,"",B43+1))</f>
      </c>
      <c r="C44" s="43">
        <f t="shared" si="8"/>
      </c>
      <c r="D44" s="43">
        <f t="shared" si="6"/>
      </c>
      <c r="E44" s="43">
        <f t="shared" si="9"/>
      </c>
      <c r="F44" s="43">
        <f t="shared" si="10"/>
      </c>
      <c r="G44" s="43">
        <f t="shared" si="7"/>
      </c>
      <c r="H44" s="43">
        <f t="shared" si="7"/>
      </c>
      <c r="I44" s="43">
        <f t="shared" si="5"/>
      </c>
      <c r="J44" s="13"/>
      <c r="K44" s="12"/>
      <c r="L44" s="13"/>
      <c r="M44" s="13"/>
      <c r="N44" s="14"/>
      <c r="O44" s="14"/>
      <c r="P44" s="14"/>
      <c r="Q44" s="13"/>
    </row>
    <row r="45" spans="1:17" ht="11.25" customHeight="1">
      <c r="A45" s="12"/>
      <c r="B45" s="40">
        <f>IF(ISTEXT(B44),"",IF(MAX(B$27:B44)=Q$211,"",B44+1))</f>
      </c>
      <c r="C45" s="43">
        <f t="shared" si="8"/>
      </c>
      <c r="D45" s="43">
        <f t="shared" si="6"/>
      </c>
      <c r="E45" s="43">
        <f t="shared" si="9"/>
      </c>
      <c r="F45" s="43">
        <f t="shared" si="10"/>
      </c>
      <c r="G45" s="43">
        <f t="shared" si="7"/>
      </c>
      <c r="H45" s="43">
        <f t="shared" si="7"/>
      </c>
      <c r="I45" s="43">
        <f t="shared" si="5"/>
      </c>
      <c r="J45" s="13"/>
      <c r="K45" s="12"/>
      <c r="L45" s="13"/>
      <c r="M45" s="13"/>
      <c r="N45" s="14"/>
      <c r="O45" s="14"/>
      <c r="P45" s="14"/>
      <c r="Q45" s="13"/>
    </row>
    <row r="46" spans="1:17" ht="11.25" customHeight="1">
      <c r="A46" s="12"/>
      <c r="B46" s="40">
        <f>IF(ISTEXT(B45),"",IF(MAX(B$27:B45)=Q$211,"",B45+1))</f>
      </c>
      <c r="C46" s="43">
        <f t="shared" si="8"/>
      </c>
      <c r="D46" s="43">
        <f t="shared" si="6"/>
      </c>
      <c r="E46" s="43">
        <f t="shared" si="9"/>
      </c>
      <c r="F46" s="43">
        <f t="shared" si="10"/>
      </c>
      <c r="G46" s="43">
        <f t="shared" si="7"/>
      </c>
      <c r="H46" s="43">
        <f t="shared" si="7"/>
      </c>
      <c r="I46" s="43">
        <f t="shared" si="5"/>
      </c>
      <c r="J46" s="13"/>
      <c r="K46" s="12"/>
      <c r="L46" s="13"/>
      <c r="M46" s="13"/>
      <c r="N46" s="14"/>
      <c r="O46" s="14"/>
      <c r="P46" s="14"/>
      <c r="Q46" s="13"/>
    </row>
    <row r="47" spans="1:17" ht="11.25" customHeight="1">
      <c r="A47" s="12"/>
      <c r="B47" s="40">
        <f>IF(ISTEXT(B46),"",IF(MAX(B$27:B46)=Q$211,"",B46+1))</f>
      </c>
      <c r="C47" s="43">
        <f t="shared" si="8"/>
      </c>
      <c r="D47" s="43">
        <f t="shared" si="6"/>
      </c>
      <c r="E47" s="43">
        <f t="shared" si="9"/>
      </c>
      <c r="F47" s="43">
        <f t="shared" si="10"/>
      </c>
      <c r="G47" s="43">
        <f t="shared" si="7"/>
      </c>
      <c r="H47" s="43">
        <f t="shared" si="7"/>
      </c>
      <c r="I47" s="43">
        <f t="shared" si="5"/>
      </c>
      <c r="J47" s="13"/>
      <c r="K47" s="12"/>
      <c r="L47" s="13"/>
      <c r="M47" s="13"/>
      <c r="N47" s="14"/>
      <c r="O47" s="14"/>
      <c r="P47" s="14"/>
      <c r="Q47" s="13"/>
    </row>
    <row r="48" spans="1:17" ht="11.25" customHeight="1">
      <c r="A48" s="12"/>
      <c r="B48" s="40">
        <f>IF(ISTEXT(B47),"",IF(MAX(B$27:B47)=Q$211,"",B47+1))</f>
      </c>
      <c r="C48" s="43">
        <f t="shared" si="8"/>
      </c>
      <c r="D48" s="43">
        <f t="shared" si="6"/>
      </c>
      <c r="E48" s="43">
        <f t="shared" si="9"/>
      </c>
      <c r="F48" s="43">
        <f t="shared" si="10"/>
      </c>
      <c r="G48" s="43">
        <f t="shared" si="7"/>
      </c>
      <c r="H48" s="43">
        <f t="shared" si="7"/>
      </c>
      <c r="I48" s="43">
        <f t="shared" si="5"/>
      </c>
      <c r="J48" s="13"/>
      <c r="K48" s="12"/>
      <c r="L48" s="13"/>
      <c r="M48" s="13"/>
      <c r="N48" s="14"/>
      <c r="O48" s="14"/>
      <c r="P48" s="14"/>
      <c r="Q48" s="13"/>
    </row>
    <row r="49" spans="1:17" ht="11.25" customHeight="1">
      <c r="A49" s="12"/>
      <c r="B49" s="40">
        <f>IF(ISTEXT(B48),"",IF(MAX(B$27:B48)=Q$211,"",B48+1))</f>
      </c>
      <c r="C49" s="43">
        <f t="shared" si="8"/>
      </c>
      <c r="D49" s="43">
        <f t="shared" si="6"/>
      </c>
      <c r="E49" s="43">
        <f t="shared" si="9"/>
      </c>
      <c r="F49" s="43">
        <f t="shared" si="10"/>
      </c>
      <c r="G49" s="43">
        <f t="shared" si="7"/>
      </c>
      <c r="H49" s="43">
        <f t="shared" si="7"/>
      </c>
      <c r="I49" s="43">
        <f t="shared" si="5"/>
      </c>
      <c r="J49" s="13"/>
      <c r="K49" s="12"/>
      <c r="L49" s="13"/>
      <c r="M49" s="13"/>
      <c r="N49" s="14"/>
      <c r="O49" s="14"/>
      <c r="P49" s="14"/>
      <c r="Q49" s="13"/>
    </row>
    <row r="50" spans="1:17" ht="11.25" customHeight="1">
      <c r="A50" s="12"/>
      <c r="B50" s="40">
        <f>IF(ISTEXT(B49),"",IF(MAX(B$27:B49)=Q$211,"",B49+1))</f>
      </c>
      <c r="C50" s="43">
        <f t="shared" si="8"/>
      </c>
      <c r="D50" s="43">
        <f t="shared" si="6"/>
      </c>
      <c r="E50" s="43">
        <f t="shared" si="9"/>
      </c>
      <c r="F50" s="43">
        <f t="shared" si="10"/>
      </c>
      <c r="G50" s="43">
        <f t="shared" si="7"/>
      </c>
      <c r="H50" s="43">
        <f t="shared" si="7"/>
      </c>
      <c r="I50" s="43">
        <f t="shared" si="5"/>
      </c>
      <c r="J50" s="13"/>
      <c r="K50" s="12"/>
      <c r="L50" s="13"/>
      <c r="M50" s="13"/>
      <c r="N50" s="14"/>
      <c r="O50" s="14"/>
      <c r="P50" s="14"/>
      <c r="Q50" s="13"/>
    </row>
    <row r="51" spans="1:17" ht="11.25" customHeight="1">
      <c r="A51" s="12"/>
      <c r="B51" s="40">
        <f>IF(ISTEXT(B50),"",IF(MAX(B$27:B50)=Q$211,"",B50+1))</f>
      </c>
      <c r="C51" s="43">
        <f t="shared" si="8"/>
      </c>
      <c r="D51" s="43">
        <f t="shared" si="6"/>
      </c>
      <c r="E51" s="43">
        <f t="shared" si="9"/>
      </c>
      <c r="F51" s="43">
        <f t="shared" si="10"/>
      </c>
      <c r="G51" s="43">
        <f t="shared" si="7"/>
      </c>
      <c r="H51" s="43">
        <f t="shared" si="7"/>
      </c>
      <c r="I51" s="43">
        <f t="shared" si="5"/>
      </c>
      <c r="J51" s="13"/>
      <c r="K51" s="12"/>
      <c r="L51" s="13"/>
      <c r="M51" s="13"/>
      <c r="N51" s="14"/>
      <c r="O51" s="14"/>
      <c r="P51" s="14"/>
      <c r="Q51" s="13"/>
    </row>
    <row r="52" spans="1:17" ht="11.25" customHeight="1">
      <c r="A52" s="12"/>
      <c r="B52" s="40">
        <f>IF(ISTEXT(B51),"",IF(MAX(B$27:B51)=Q$211,"",B51+1))</f>
      </c>
      <c r="C52" s="43">
        <f t="shared" si="8"/>
      </c>
      <c r="D52" s="43">
        <f t="shared" si="6"/>
      </c>
      <c r="E52" s="43">
        <f t="shared" si="9"/>
      </c>
      <c r="F52" s="43">
        <f t="shared" si="10"/>
      </c>
      <c r="G52" s="43">
        <f t="shared" si="7"/>
      </c>
      <c r="H52" s="43">
        <f t="shared" si="7"/>
      </c>
      <c r="I52" s="43">
        <f t="shared" si="5"/>
      </c>
      <c r="J52" s="13"/>
      <c r="K52" s="12"/>
      <c r="L52" s="13"/>
      <c r="M52" s="13"/>
      <c r="N52" s="14"/>
      <c r="O52" s="14"/>
      <c r="P52" s="14"/>
      <c r="Q52" s="13"/>
    </row>
    <row r="53" spans="1:17" ht="11.25" customHeight="1">
      <c r="A53" s="12"/>
      <c r="B53" s="40">
        <f>IF(ISTEXT(B52),"",IF(MAX(B$27:B52)=Q$211,"",B52+1))</f>
      </c>
      <c r="C53" s="43">
        <f t="shared" si="8"/>
      </c>
      <c r="D53" s="43">
        <f t="shared" si="6"/>
      </c>
      <c r="E53" s="43">
        <f t="shared" si="9"/>
      </c>
      <c r="F53" s="43">
        <f t="shared" si="10"/>
      </c>
      <c r="G53" s="43">
        <f t="shared" si="7"/>
      </c>
      <c r="H53" s="43">
        <f t="shared" si="7"/>
      </c>
      <c r="I53" s="43">
        <f t="shared" si="5"/>
      </c>
      <c r="J53" s="13"/>
      <c r="K53" s="12"/>
      <c r="L53" s="13"/>
      <c r="M53" s="13"/>
      <c r="N53" s="14"/>
      <c r="O53" s="14"/>
      <c r="P53" s="14"/>
      <c r="Q53" s="13"/>
    </row>
    <row r="54" spans="1:17" ht="11.25" customHeight="1">
      <c r="A54" s="12"/>
      <c r="B54" s="40">
        <f>IF(ISTEXT(B53),"",IF(MAX(B$27:B53)=Q$211,"",B53+1))</f>
      </c>
      <c r="C54" s="43">
        <f t="shared" si="8"/>
      </c>
      <c r="D54" s="43">
        <f t="shared" si="6"/>
      </c>
      <c r="E54" s="43">
        <f t="shared" si="9"/>
      </c>
      <c r="F54" s="43">
        <f t="shared" si="10"/>
      </c>
      <c r="G54" s="43">
        <f t="shared" si="7"/>
      </c>
      <c r="H54" s="43">
        <f t="shared" si="7"/>
      </c>
      <c r="I54" s="43">
        <f t="shared" si="5"/>
      </c>
      <c r="J54" s="13"/>
      <c r="K54" s="12"/>
      <c r="L54" s="13"/>
      <c r="M54" s="13"/>
      <c r="N54" s="14"/>
      <c r="O54" s="14"/>
      <c r="P54" s="14"/>
      <c r="Q54" s="13"/>
    </row>
    <row r="55" spans="1:17" ht="11.25" customHeight="1">
      <c r="A55" s="12"/>
      <c r="B55" s="40">
        <f>IF(ISTEXT(B54),"",IF(MAX(B$27:B54)=Q$211,"",B54+1))</f>
      </c>
      <c r="C55" s="43">
        <f t="shared" si="8"/>
      </c>
      <c r="D55" s="43">
        <f t="shared" si="6"/>
      </c>
      <c r="E55" s="43">
        <f t="shared" si="9"/>
      </c>
      <c r="F55" s="43">
        <f t="shared" si="10"/>
      </c>
      <c r="G55" s="43">
        <f t="shared" si="7"/>
      </c>
      <c r="H55" s="43">
        <f t="shared" si="7"/>
      </c>
      <c r="I55" s="43">
        <f t="shared" si="5"/>
      </c>
      <c r="J55" s="13"/>
      <c r="K55" s="12"/>
      <c r="L55" s="13"/>
      <c r="M55" s="13"/>
      <c r="N55" s="14"/>
      <c r="O55" s="14"/>
      <c r="P55" s="14"/>
      <c r="Q55" s="13"/>
    </row>
    <row r="56" spans="1:17" ht="11.25" customHeight="1">
      <c r="A56" s="12"/>
      <c r="B56" s="40">
        <f>IF(ISTEXT(B55),"",IF(MAX(B$27:B55)=Q$211,"",B55+1))</f>
      </c>
      <c r="C56" s="43">
        <f t="shared" si="8"/>
      </c>
      <c r="D56" s="43">
        <f t="shared" si="6"/>
      </c>
      <c r="E56" s="43">
        <f t="shared" si="9"/>
      </c>
      <c r="F56" s="43">
        <f t="shared" si="10"/>
      </c>
      <c r="G56" s="43">
        <f t="shared" si="7"/>
      </c>
      <c r="H56" s="43">
        <f t="shared" si="7"/>
      </c>
      <c r="I56" s="43">
        <f t="shared" si="5"/>
      </c>
      <c r="J56" s="13"/>
      <c r="K56" s="12"/>
      <c r="L56" s="13"/>
      <c r="M56" s="13"/>
      <c r="N56" s="14"/>
      <c r="O56" s="14"/>
      <c r="P56" s="14"/>
      <c r="Q56" s="13"/>
    </row>
    <row r="57" spans="1:17" ht="12.75">
      <c r="A57" s="10"/>
      <c r="B57" s="10"/>
      <c r="C57" s="27"/>
      <c r="D57" s="27"/>
      <c r="E57" s="27"/>
      <c r="F57" s="27"/>
      <c r="G57" s="27"/>
      <c r="H57" s="27"/>
      <c r="I57" s="27"/>
      <c r="J57" s="10"/>
      <c r="K57" s="10"/>
      <c r="L57" s="10"/>
      <c r="M57" s="10"/>
      <c r="N57" s="11"/>
      <c r="O57" s="11"/>
      <c r="P57" s="11"/>
      <c r="Q57" s="10"/>
    </row>
    <row r="58" spans="1:17" ht="12.75">
      <c r="A58" s="10"/>
      <c r="B58" s="10"/>
      <c r="C58" s="27"/>
      <c r="D58" s="27"/>
      <c r="E58" s="27"/>
      <c r="F58" s="27"/>
      <c r="G58" s="27"/>
      <c r="H58" s="27"/>
      <c r="I58" s="27"/>
      <c r="J58" s="10"/>
      <c r="K58" s="10"/>
      <c r="L58" s="10"/>
      <c r="M58" s="10"/>
      <c r="N58" s="11"/>
      <c r="O58" s="11"/>
      <c r="P58" s="11"/>
      <c r="Q58" s="10"/>
    </row>
    <row r="59" spans="1:17" ht="12.75">
      <c r="A59" s="10"/>
      <c r="B59" s="10"/>
      <c r="C59" s="27"/>
      <c r="D59" s="27"/>
      <c r="E59" s="27"/>
      <c r="F59" s="27"/>
      <c r="G59" s="27"/>
      <c r="H59" s="27"/>
      <c r="I59" s="27"/>
      <c r="J59" s="10"/>
      <c r="K59" s="10"/>
      <c r="L59" s="10"/>
      <c r="M59" s="10"/>
      <c r="N59" s="11"/>
      <c r="O59" s="11"/>
      <c r="P59" s="11"/>
      <c r="Q59" s="10"/>
    </row>
    <row r="60" spans="1:17" ht="12.75">
      <c r="A60" s="10"/>
      <c r="B60" s="10"/>
      <c r="C60" s="27"/>
      <c r="D60" s="27"/>
      <c r="E60" s="27"/>
      <c r="F60" s="27"/>
      <c r="G60" s="27"/>
      <c r="H60" s="27"/>
      <c r="I60" s="27"/>
      <c r="J60" s="10"/>
      <c r="K60" s="10"/>
      <c r="L60" s="10"/>
      <c r="M60" s="10"/>
      <c r="N60" s="11"/>
      <c r="O60" s="11"/>
      <c r="P60" s="11"/>
      <c r="Q60" s="10"/>
    </row>
    <row r="61" spans="1:17" ht="12.75">
      <c r="A61" s="10"/>
      <c r="B61" s="10"/>
      <c r="C61" s="27"/>
      <c r="D61" s="27"/>
      <c r="E61" s="27"/>
      <c r="F61" s="27"/>
      <c r="G61" s="27"/>
      <c r="H61" s="27"/>
      <c r="I61" s="27"/>
      <c r="J61" s="10"/>
      <c r="K61" s="10"/>
      <c r="L61" s="10"/>
      <c r="M61" s="10"/>
      <c r="N61" s="11"/>
      <c r="O61" s="11"/>
      <c r="P61" s="11"/>
      <c r="Q61" s="10"/>
    </row>
    <row r="62" spans="1:17" ht="12.75">
      <c r="A62" s="10"/>
      <c r="B62" s="10"/>
      <c r="C62" s="27"/>
      <c r="D62" s="27"/>
      <c r="E62" s="27"/>
      <c r="F62" s="27"/>
      <c r="G62" s="27"/>
      <c r="H62" s="27"/>
      <c r="I62" s="27"/>
      <c r="J62" s="10"/>
      <c r="K62" s="10"/>
      <c r="L62" s="10"/>
      <c r="M62" s="10"/>
      <c r="N62" s="11"/>
      <c r="O62" s="11"/>
      <c r="P62" s="11"/>
      <c r="Q62" s="10"/>
    </row>
    <row r="63" spans="1:17" ht="12.75">
      <c r="A63" s="10"/>
      <c r="B63" s="10"/>
      <c r="C63" s="27"/>
      <c r="D63" s="27"/>
      <c r="E63" s="27"/>
      <c r="F63" s="27"/>
      <c r="G63" s="27"/>
      <c r="H63" s="27"/>
      <c r="I63" s="27"/>
      <c r="J63" s="10"/>
      <c r="K63" s="10"/>
      <c r="L63" s="10"/>
      <c r="M63" s="10"/>
      <c r="N63" s="11"/>
      <c r="O63" s="11"/>
      <c r="P63" s="11"/>
      <c r="Q63" s="10"/>
    </row>
    <row r="64" spans="1:17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11"/>
      <c r="P64" s="11"/>
      <c r="Q64" s="10"/>
    </row>
    <row r="65" spans="1:17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1"/>
      <c r="P65" s="11"/>
      <c r="Q65" s="10"/>
    </row>
    <row r="66" spans="1:17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1"/>
      <c r="P66" s="11"/>
      <c r="Q66" s="10"/>
    </row>
    <row r="67" spans="1:17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1"/>
      <c r="P67" s="11"/>
      <c r="Q67" s="10"/>
    </row>
    <row r="68" spans="1:17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1"/>
      <c r="P68" s="11"/>
      <c r="Q68" s="10"/>
    </row>
    <row r="69" spans="1:17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1"/>
      <c r="P69" s="11"/>
      <c r="Q69" s="10"/>
    </row>
    <row r="70" spans="1:17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1"/>
      <c r="O70" s="11"/>
      <c r="P70" s="11"/>
      <c r="Q70" s="10"/>
    </row>
    <row r="71" spans="1:17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1"/>
      <c r="P71" s="11"/>
      <c r="Q71" s="10"/>
    </row>
    <row r="72" spans="1:17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1"/>
      <c r="P72" s="11"/>
      <c r="Q72" s="10"/>
    </row>
    <row r="73" spans="1:17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1"/>
      <c r="O73" s="11"/>
      <c r="P73" s="11"/>
      <c r="Q73" s="10"/>
    </row>
    <row r="74" spans="1:17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1"/>
      <c r="P74" s="11"/>
      <c r="Q74" s="10"/>
    </row>
    <row r="75" spans="1:17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1"/>
      <c r="P75" s="11"/>
      <c r="Q75" s="10"/>
    </row>
    <row r="76" spans="1:17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1"/>
      <c r="O76" s="11"/>
      <c r="P76" s="11"/>
      <c r="Q76" s="10"/>
    </row>
    <row r="77" spans="1:17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1"/>
      <c r="P77" s="11"/>
      <c r="Q77" s="10"/>
    </row>
    <row r="78" spans="1:17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1"/>
      <c r="P78" s="11"/>
      <c r="Q78" s="10"/>
    </row>
    <row r="79" spans="1:17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1"/>
      <c r="P79" s="11"/>
      <c r="Q79" s="10"/>
    </row>
    <row r="80" spans="1:17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1"/>
      <c r="P80" s="11"/>
      <c r="Q80" s="10"/>
    </row>
    <row r="81" spans="1:17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1"/>
      <c r="P81" s="11"/>
      <c r="Q81" s="10"/>
    </row>
    <row r="82" spans="1:17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1"/>
      <c r="P82" s="11"/>
      <c r="Q82" s="10"/>
    </row>
    <row r="83" spans="1:17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1"/>
      <c r="P83" s="11"/>
      <c r="Q83" s="10"/>
    </row>
    <row r="84" spans="1:17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1"/>
      <c r="P84" s="11"/>
      <c r="Q84" s="10"/>
    </row>
    <row r="85" spans="1:17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11"/>
      <c r="P85" s="11"/>
      <c r="Q85" s="10"/>
    </row>
    <row r="86" spans="1:17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1"/>
      <c r="P86" s="11"/>
      <c r="Q86" s="10"/>
    </row>
    <row r="87" spans="1:17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1"/>
      <c r="P87" s="11"/>
      <c r="Q87" s="10"/>
    </row>
    <row r="88" spans="1:17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  <c r="O88" s="11"/>
      <c r="P88" s="11"/>
      <c r="Q88" s="10"/>
    </row>
    <row r="89" spans="1:17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1"/>
      <c r="P89" s="11"/>
      <c r="Q89" s="10"/>
    </row>
    <row r="90" spans="1:17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1"/>
      <c r="P90" s="11"/>
      <c r="Q90" s="10"/>
    </row>
    <row r="91" spans="1:17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11"/>
      <c r="P91" s="11"/>
      <c r="Q91" s="10"/>
    </row>
    <row r="92" spans="1:17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1"/>
      <c r="P92" s="11"/>
      <c r="Q92" s="10"/>
    </row>
    <row r="93" spans="1:17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1"/>
      <c r="P93" s="11"/>
      <c r="Q93" s="10"/>
    </row>
    <row r="94" spans="1:17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1"/>
      <c r="O94" s="11"/>
      <c r="P94" s="11"/>
      <c r="Q94" s="10"/>
    </row>
    <row r="95" spans="1:17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1"/>
      <c r="P95" s="11"/>
      <c r="Q95" s="10"/>
    </row>
    <row r="96" spans="1:17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1"/>
      <c r="P96" s="11"/>
      <c r="Q96" s="10"/>
    </row>
    <row r="97" spans="1:17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1"/>
      <c r="O97" s="11"/>
      <c r="P97" s="11"/>
      <c r="Q97" s="10"/>
    </row>
    <row r="98" spans="1:17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1"/>
      <c r="P98" s="11"/>
      <c r="Q98" s="10"/>
    </row>
    <row r="99" spans="1:17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1"/>
      <c r="P99" s="11"/>
      <c r="Q99" s="10"/>
    </row>
    <row r="100" spans="1:17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1"/>
      <c r="O100" s="11"/>
      <c r="P100" s="11"/>
      <c r="Q100" s="10"/>
    </row>
    <row r="101" spans="1:17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1"/>
      <c r="O101" s="11"/>
      <c r="P101" s="11"/>
      <c r="Q101" s="10"/>
    </row>
    <row r="102" spans="1:17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1"/>
      <c r="O102" s="11"/>
      <c r="P102" s="11"/>
      <c r="Q102" s="10"/>
    </row>
    <row r="103" spans="1:17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1"/>
      <c r="O103" s="11"/>
      <c r="P103" s="11"/>
      <c r="Q103" s="10"/>
    </row>
    <row r="104" spans="1:17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1"/>
      <c r="P104" s="11"/>
      <c r="Q104" s="10"/>
    </row>
    <row r="105" spans="1:17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1"/>
      <c r="P105" s="11"/>
      <c r="Q105" s="10"/>
    </row>
    <row r="106" spans="1:17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1"/>
      <c r="O106" s="11"/>
      <c r="P106" s="11"/>
      <c r="Q106" s="10"/>
    </row>
    <row r="107" spans="1:17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1"/>
      <c r="P107" s="11"/>
      <c r="Q107" s="10"/>
    </row>
    <row r="108" spans="1:17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1"/>
      <c r="P108" s="11"/>
      <c r="Q108" s="10"/>
    </row>
    <row r="109" spans="1:17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1"/>
      <c r="O109" s="11"/>
      <c r="P109" s="11"/>
      <c r="Q109" s="10"/>
    </row>
    <row r="110" spans="1:17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1"/>
      <c r="P110" s="11"/>
      <c r="Q110" s="10"/>
    </row>
    <row r="111" spans="1:17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1"/>
      <c r="P111" s="11"/>
      <c r="Q111" s="10"/>
    </row>
    <row r="112" spans="1:17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1"/>
      <c r="O112" s="11"/>
      <c r="P112" s="11"/>
      <c r="Q112" s="10"/>
    </row>
    <row r="113" spans="1:17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1"/>
      <c r="P113" s="11"/>
      <c r="Q113" s="10"/>
    </row>
    <row r="114" spans="1:17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1"/>
      <c r="P114" s="11"/>
      <c r="Q114" s="10"/>
    </row>
    <row r="115" spans="1:17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1"/>
      <c r="O115" s="11"/>
      <c r="P115" s="11"/>
      <c r="Q115" s="10"/>
    </row>
    <row r="116" spans="1:17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1"/>
      <c r="P116" s="11"/>
      <c r="Q116" s="10"/>
    </row>
    <row r="117" spans="1:17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1"/>
      <c r="P117" s="11"/>
      <c r="Q117" s="10"/>
    </row>
    <row r="118" spans="1:17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1"/>
      <c r="O118" s="11"/>
      <c r="P118" s="11"/>
      <c r="Q118" s="10"/>
    </row>
    <row r="119" spans="1:17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1"/>
      <c r="P119" s="11"/>
      <c r="Q119" s="10"/>
    </row>
    <row r="120" spans="1:17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1"/>
      <c r="P120" s="11"/>
      <c r="Q120" s="10"/>
    </row>
    <row r="121" spans="1:17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1"/>
      <c r="O121" s="11"/>
      <c r="P121" s="11"/>
      <c r="Q121" s="10"/>
    </row>
    <row r="122" spans="1:17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1"/>
      <c r="P122" s="11"/>
      <c r="Q122" s="10"/>
    </row>
    <row r="123" spans="1:17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1"/>
      <c r="P123" s="11"/>
      <c r="Q123" s="10"/>
    </row>
    <row r="124" spans="1:17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1"/>
      <c r="O124" s="11"/>
      <c r="P124" s="11"/>
      <c r="Q124" s="10"/>
    </row>
    <row r="125" spans="1:17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1"/>
      <c r="O125" s="11"/>
      <c r="P125" s="11"/>
      <c r="Q125" s="10"/>
    </row>
    <row r="126" spans="1:17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1"/>
      <c r="O126" s="11"/>
      <c r="P126" s="11"/>
      <c r="Q126" s="10"/>
    </row>
    <row r="127" spans="1:17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1"/>
      <c r="O127" s="11"/>
      <c r="P127" s="11"/>
      <c r="Q127" s="10"/>
    </row>
    <row r="128" spans="1:17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1"/>
      <c r="P128" s="11"/>
      <c r="Q128" s="10"/>
    </row>
    <row r="129" spans="1:17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1"/>
      <c r="P129" s="11"/>
      <c r="Q129" s="10"/>
    </row>
    <row r="130" spans="1:17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1"/>
      <c r="O130" s="11"/>
      <c r="P130" s="11"/>
      <c r="Q130" s="10"/>
    </row>
    <row r="131" spans="1:17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1"/>
      <c r="P131" s="11"/>
      <c r="Q131" s="10"/>
    </row>
    <row r="132" spans="1:17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1"/>
      <c r="P132" s="11"/>
      <c r="Q132" s="10"/>
    </row>
    <row r="133" spans="1:17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1"/>
      <c r="O133" s="11"/>
      <c r="P133" s="11"/>
      <c r="Q133" s="10"/>
    </row>
    <row r="134" spans="1:17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1"/>
      <c r="O134" s="11"/>
      <c r="P134" s="11"/>
      <c r="Q134" s="10"/>
    </row>
    <row r="135" spans="1:17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1"/>
      <c r="O135" s="11"/>
      <c r="P135" s="11"/>
      <c r="Q135" s="10"/>
    </row>
    <row r="136" spans="1:17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1"/>
      <c r="O136" s="11"/>
      <c r="P136" s="11"/>
      <c r="Q136" s="10"/>
    </row>
    <row r="137" spans="1:17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1"/>
      <c r="P137" s="11"/>
      <c r="Q137" s="10"/>
    </row>
    <row r="138" spans="1:17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1"/>
      <c r="P138" s="11"/>
      <c r="Q138" s="10"/>
    </row>
    <row r="139" spans="1:17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1"/>
      <c r="O139" s="11"/>
      <c r="P139" s="11"/>
      <c r="Q139" s="10"/>
    </row>
    <row r="140" spans="1:17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1"/>
      <c r="P140" s="11"/>
      <c r="Q140" s="10"/>
    </row>
    <row r="141" spans="1:17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1"/>
      <c r="P141" s="11"/>
      <c r="Q141" s="10"/>
    </row>
    <row r="142" spans="1:17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1"/>
      <c r="O142" s="11"/>
      <c r="P142" s="11"/>
      <c r="Q142" s="10"/>
    </row>
    <row r="143" spans="1:17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1"/>
      <c r="P143" s="11"/>
      <c r="Q143" s="10"/>
    </row>
    <row r="144" spans="1:17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1"/>
      <c r="P144" s="11"/>
      <c r="Q144" s="10"/>
    </row>
    <row r="145" spans="1:17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1"/>
      <c r="O145" s="11"/>
      <c r="P145" s="11"/>
      <c r="Q145" s="10"/>
    </row>
    <row r="146" spans="1:17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1"/>
      <c r="P146" s="11"/>
      <c r="Q146" s="10"/>
    </row>
    <row r="147" spans="1:17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1"/>
      <c r="P147" s="11"/>
      <c r="Q147" s="10"/>
    </row>
    <row r="148" spans="1:17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1"/>
      <c r="O148" s="11"/>
      <c r="P148" s="11"/>
      <c r="Q148" s="10"/>
    </row>
    <row r="149" spans="1:17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1"/>
      <c r="P149" s="11"/>
      <c r="Q149" s="10"/>
    </row>
    <row r="150" spans="1:17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1"/>
      <c r="P150" s="11"/>
      <c r="Q150" s="10"/>
    </row>
    <row r="151" spans="1:17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1"/>
      <c r="O151" s="11"/>
      <c r="P151" s="11"/>
      <c r="Q151" s="10"/>
    </row>
    <row r="152" spans="1:17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1"/>
      <c r="O152" s="11"/>
      <c r="P152" s="11"/>
      <c r="Q152" s="10"/>
    </row>
    <row r="153" spans="1:17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1"/>
      <c r="O153" s="11"/>
      <c r="P153" s="11"/>
      <c r="Q153" s="10"/>
    </row>
    <row r="154" spans="1:17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1"/>
      <c r="O154" s="11"/>
      <c r="P154" s="11"/>
      <c r="Q154" s="10"/>
    </row>
    <row r="155" spans="1:17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1"/>
      <c r="P155" s="11"/>
      <c r="Q155" s="10"/>
    </row>
    <row r="156" spans="1:17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1"/>
      <c r="P156" s="11"/>
      <c r="Q156" s="10"/>
    </row>
    <row r="157" spans="1:17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1"/>
      <c r="O157" s="11"/>
      <c r="P157" s="11"/>
      <c r="Q157" s="10"/>
    </row>
    <row r="158" spans="1:17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1"/>
      <c r="O158" s="11"/>
      <c r="P158" s="11"/>
      <c r="Q158" s="10"/>
    </row>
    <row r="159" spans="1:17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1"/>
      <c r="O159" s="11"/>
      <c r="P159" s="11"/>
      <c r="Q159" s="10"/>
    </row>
    <row r="160" spans="1:17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1"/>
      <c r="O160" s="11"/>
      <c r="P160" s="11"/>
      <c r="Q160" s="10"/>
    </row>
    <row r="161" spans="1:17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1"/>
      <c r="P161" s="11"/>
      <c r="Q161" s="10"/>
    </row>
    <row r="162" spans="1:17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1"/>
      <c r="P162" s="11"/>
      <c r="Q162" s="10"/>
    </row>
    <row r="163" spans="1:17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1"/>
      <c r="O163" s="11"/>
      <c r="P163" s="11"/>
      <c r="Q163" s="10"/>
    </row>
    <row r="164" spans="1:17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1"/>
      <c r="O164" s="11"/>
      <c r="P164" s="11"/>
      <c r="Q164" s="10"/>
    </row>
    <row r="165" spans="1:17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1"/>
      <c r="O165" s="11"/>
      <c r="P165" s="11"/>
      <c r="Q165" s="10"/>
    </row>
    <row r="166" spans="1:17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1"/>
      <c r="O166" s="11"/>
      <c r="P166" s="11"/>
      <c r="Q166" s="10"/>
    </row>
    <row r="167" spans="1:17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1"/>
      <c r="P167" s="11"/>
      <c r="Q167" s="10"/>
    </row>
    <row r="168" spans="1:17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1"/>
      <c r="P168" s="11"/>
      <c r="Q168" s="10"/>
    </row>
    <row r="169" spans="1:17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1"/>
      <c r="O169" s="11"/>
      <c r="P169" s="11"/>
      <c r="Q169" s="10"/>
    </row>
    <row r="170" spans="1:17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1"/>
      <c r="P170" s="11"/>
      <c r="Q170" s="10"/>
    </row>
    <row r="171" spans="1:17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1"/>
      <c r="P171" s="11"/>
      <c r="Q171" s="10"/>
    </row>
    <row r="172" spans="1:17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1"/>
      <c r="O172" s="11"/>
      <c r="P172" s="11"/>
      <c r="Q172" s="10"/>
    </row>
    <row r="173" spans="1:17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1"/>
      <c r="P173" s="11"/>
      <c r="Q173" s="10"/>
    </row>
    <row r="174" spans="1:17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1"/>
      <c r="P174" s="11"/>
      <c r="Q174" s="10"/>
    </row>
    <row r="175" spans="1:17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1"/>
      <c r="O175" s="11"/>
      <c r="P175" s="11"/>
      <c r="Q175" s="10"/>
    </row>
    <row r="176" spans="1:17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1"/>
      <c r="O176" s="11"/>
      <c r="P176" s="11"/>
      <c r="Q176" s="10"/>
    </row>
    <row r="177" spans="1:17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1"/>
      <c r="O177" s="11"/>
      <c r="P177" s="11"/>
      <c r="Q177" s="10"/>
    </row>
    <row r="178" spans="1:17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1"/>
      <c r="O178" s="11"/>
      <c r="P178" s="11"/>
      <c r="Q178" s="10"/>
    </row>
    <row r="179" spans="1:17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1"/>
      <c r="P179" s="11"/>
      <c r="Q179" s="10"/>
    </row>
    <row r="180" spans="1:17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1"/>
      <c r="P180" s="11"/>
      <c r="Q180" s="10"/>
    </row>
    <row r="181" spans="1:17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1"/>
      <c r="O181" s="11"/>
      <c r="P181" s="11"/>
      <c r="Q181" s="10"/>
    </row>
    <row r="182" spans="1:17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1"/>
      <c r="P182" s="11"/>
      <c r="Q182" s="10"/>
    </row>
    <row r="183" spans="1:17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1"/>
      <c r="P183" s="11"/>
      <c r="Q183" s="10"/>
    </row>
    <row r="184" spans="1:17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1"/>
      <c r="O184" s="11"/>
      <c r="P184" s="11"/>
      <c r="Q184" s="10"/>
    </row>
    <row r="185" spans="1:17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1"/>
      <c r="P185" s="11"/>
      <c r="Q185" s="10"/>
    </row>
    <row r="186" spans="1:17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1"/>
      <c r="P186" s="11"/>
      <c r="Q186" s="10"/>
    </row>
    <row r="187" spans="1:17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1"/>
      <c r="O187" s="11"/>
      <c r="P187" s="11"/>
      <c r="Q187" s="10"/>
    </row>
    <row r="188" spans="1:17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1"/>
      <c r="O188" s="11"/>
      <c r="P188" s="11"/>
      <c r="Q188" s="10"/>
    </row>
    <row r="189" spans="1:17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1"/>
      <c r="O189" s="11"/>
      <c r="P189" s="11"/>
      <c r="Q189" s="10"/>
    </row>
    <row r="190" spans="1:17" ht="13.5" hidden="1" thickTop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28" t="s">
        <v>27</v>
      </c>
      <c r="N190" s="29"/>
      <c r="O190" s="29"/>
      <c r="P190" s="29"/>
      <c r="Q190" s="30"/>
    </row>
    <row r="191" spans="1:17" ht="12.75" hidden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31"/>
      <c r="N191" s="32"/>
      <c r="O191" s="32"/>
      <c r="P191" s="32"/>
      <c r="Q191" s="33"/>
    </row>
    <row r="192" spans="1:17" ht="12.75" hidden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31">
        <v>1</v>
      </c>
      <c r="N192" s="32" t="s">
        <v>28</v>
      </c>
      <c r="O192" s="32">
        <f>IF(ISNA(MATCH(PROPER(LEFT(E8,3)),Q192:Q203,0)),1,MATCH(PROPER(LEFT(E8,3)),Q192:Q203,0))</f>
        <v>1</v>
      </c>
      <c r="P192" s="32"/>
      <c r="Q192" s="33" t="s">
        <v>28</v>
      </c>
    </row>
    <row r="193" spans="1:17" ht="12.75" hidden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31">
        <v>2</v>
      </c>
      <c r="N193" s="32" t="s">
        <v>29</v>
      </c>
      <c r="O193" s="32">
        <f aca="true" t="shared" si="11" ref="O193:O203">IF(O192=12,1,O192+1)</f>
        <v>2</v>
      </c>
      <c r="P193" s="32"/>
      <c r="Q193" s="33" t="s">
        <v>29</v>
      </c>
    </row>
    <row r="194" spans="1:17" ht="12.75" hidden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31">
        <v>3</v>
      </c>
      <c r="N194" s="32" t="s">
        <v>30</v>
      </c>
      <c r="O194" s="32">
        <f t="shared" si="11"/>
        <v>3</v>
      </c>
      <c r="P194" s="32"/>
      <c r="Q194" s="33" t="s">
        <v>30</v>
      </c>
    </row>
    <row r="195" spans="1:17" ht="12.75" hidden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31">
        <v>4</v>
      </c>
      <c r="N195" s="32" t="s">
        <v>31</v>
      </c>
      <c r="O195" s="32">
        <f t="shared" si="11"/>
        <v>4</v>
      </c>
      <c r="P195" s="32"/>
      <c r="Q195" s="33" t="s">
        <v>31</v>
      </c>
    </row>
    <row r="196" spans="1:17" ht="12.75" hidden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31">
        <v>5</v>
      </c>
      <c r="N196" s="32" t="s">
        <v>32</v>
      </c>
      <c r="O196" s="32">
        <f t="shared" si="11"/>
        <v>5</v>
      </c>
      <c r="P196" s="32"/>
      <c r="Q196" s="33" t="s">
        <v>32</v>
      </c>
    </row>
    <row r="197" spans="1:17" ht="12.75" hidden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31">
        <v>6</v>
      </c>
      <c r="N197" s="32" t="s">
        <v>33</v>
      </c>
      <c r="O197" s="32">
        <f t="shared" si="11"/>
        <v>6</v>
      </c>
      <c r="P197" s="32"/>
      <c r="Q197" s="33" t="s">
        <v>33</v>
      </c>
    </row>
    <row r="198" spans="1:17" ht="12.75" hidden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31">
        <v>7</v>
      </c>
      <c r="N198" s="32" t="s">
        <v>34</v>
      </c>
      <c r="O198" s="32">
        <f t="shared" si="11"/>
        <v>7</v>
      </c>
      <c r="P198" s="32"/>
      <c r="Q198" s="33" t="s">
        <v>34</v>
      </c>
    </row>
    <row r="199" spans="1:17" ht="12.75" hidden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31">
        <v>8</v>
      </c>
      <c r="N199" s="32" t="s">
        <v>35</v>
      </c>
      <c r="O199" s="32">
        <f t="shared" si="11"/>
        <v>8</v>
      </c>
      <c r="P199" s="32"/>
      <c r="Q199" s="33" t="s">
        <v>35</v>
      </c>
    </row>
    <row r="200" spans="1:17" ht="12.75" hidden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31">
        <v>9</v>
      </c>
      <c r="N200" s="32" t="s">
        <v>36</v>
      </c>
      <c r="O200" s="32">
        <f t="shared" si="11"/>
        <v>9</v>
      </c>
      <c r="P200" s="32"/>
      <c r="Q200" s="33" t="s">
        <v>36</v>
      </c>
    </row>
    <row r="201" spans="1:17" ht="12.75" hidden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31">
        <v>10</v>
      </c>
      <c r="N201" s="32" t="s">
        <v>37</v>
      </c>
      <c r="O201" s="32">
        <f t="shared" si="11"/>
        <v>10</v>
      </c>
      <c r="P201" s="32"/>
      <c r="Q201" s="33" t="s">
        <v>37</v>
      </c>
    </row>
    <row r="202" spans="1:17" ht="12.75" hidden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31">
        <v>11</v>
      </c>
      <c r="N202" s="32" t="s">
        <v>38</v>
      </c>
      <c r="O202" s="32">
        <f t="shared" si="11"/>
        <v>11</v>
      </c>
      <c r="P202" s="32"/>
      <c r="Q202" s="33" t="s">
        <v>38</v>
      </c>
    </row>
    <row r="203" spans="1:17" ht="12.75" hidden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31">
        <v>12</v>
      </c>
      <c r="N203" s="32" t="s">
        <v>39</v>
      </c>
      <c r="O203" s="32">
        <f t="shared" si="11"/>
        <v>12</v>
      </c>
      <c r="P203" s="32"/>
      <c r="Q203" s="33" t="s">
        <v>39</v>
      </c>
    </row>
    <row r="204" spans="1:17" ht="12.75" hidden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31"/>
      <c r="N204" s="32"/>
      <c r="O204" s="32"/>
      <c r="P204" s="32"/>
      <c r="Q204" s="33"/>
    </row>
    <row r="205" spans="1:17" ht="12.75" hidden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34">
        <f>IF(C12="Jan",24,MATCH("Jan",C12:C23,0)+11)</f>
        <v>24</v>
      </c>
      <c r="N205" s="32">
        <f>Q208-M205</f>
        <v>156</v>
      </c>
      <c r="O205" s="32"/>
      <c r="P205" s="32"/>
      <c r="Q205" s="33"/>
    </row>
    <row r="206" spans="1:17" ht="12.75" hidden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31">
        <f>MIN(Q$208,M205+12)</f>
        <v>36</v>
      </c>
      <c r="N206" s="32">
        <f>Q208-M206</f>
        <v>144</v>
      </c>
      <c r="O206" s="32"/>
      <c r="P206" s="32"/>
      <c r="Q206" s="33"/>
    </row>
    <row r="207" spans="1:17" ht="12.75" hidden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31">
        <f aca="true" t="shared" si="12" ref="M207:M234">MIN(Q$208,M206+12)</f>
        <v>48</v>
      </c>
      <c r="N207" s="32">
        <f>Q208-M207</f>
        <v>132</v>
      </c>
      <c r="O207" s="32"/>
      <c r="P207" s="32"/>
      <c r="Q207" s="33"/>
    </row>
    <row r="208" spans="1:17" ht="12.75" hidden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31">
        <f t="shared" si="12"/>
        <v>60</v>
      </c>
      <c r="N208" s="32">
        <f>Q208-M208</f>
        <v>120</v>
      </c>
      <c r="O208" s="32"/>
      <c r="P208" s="32" t="s">
        <v>40</v>
      </c>
      <c r="Q208" s="33">
        <f>E6*12</f>
        <v>180</v>
      </c>
    </row>
    <row r="209" spans="1:17" ht="12.75" hidden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31">
        <f t="shared" si="12"/>
        <v>72</v>
      </c>
      <c r="N209" s="32">
        <f>Q208-M209</f>
        <v>108</v>
      </c>
      <c r="O209" s="32"/>
      <c r="P209" s="32" t="s">
        <v>41</v>
      </c>
      <c r="Q209" s="35">
        <f>E7</f>
        <v>2015</v>
      </c>
    </row>
    <row r="210" spans="1:17" ht="12.75" hidden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31">
        <f t="shared" si="12"/>
        <v>84</v>
      </c>
      <c r="N210" s="32">
        <f>Q208-M210</f>
        <v>96</v>
      </c>
      <c r="O210" s="32"/>
      <c r="P210" s="32" t="s">
        <v>2</v>
      </c>
      <c r="Q210" s="33">
        <f>Q208/12</f>
        <v>15</v>
      </c>
    </row>
    <row r="211" spans="1:17" ht="12.75" hidden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31">
        <f t="shared" si="12"/>
        <v>96</v>
      </c>
      <c r="N211" s="32">
        <f>Q208-M211</f>
        <v>84</v>
      </c>
      <c r="O211" s="32"/>
      <c r="P211" s="32" t="s">
        <v>42</v>
      </c>
      <c r="Q211" s="35">
        <f>IF(E7,Q210+Q209-IF(PROPER(LEFT(C12,3))="Jan",1,0),"")</f>
        <v>2029</v>
      </c>
    </row>
    <row r="212" spans="1:17" ht="12.75" hidden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31">
        <f t="shared" si="12"/>
        <v>108</v>
      </c>
      <c r="N212" s="32">
        <f>Q208-M212</f>
        <v>72</v>
      </c>
      <c r="O212" s="32"/>
      <c r="P212" s="32" t="s">
        <v>43</v>
      </c>
      <c r="Q212" s="33">
        <f>O203</f>
        <v>12</v>
      </c>
    </row>
    <row r="213" spans="1:17" ht="12.75" hidden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31">
        <f t="shared" si="12"/>
        <v>120</v>
      </c>
      <c r="N213" s="32">
        <f>Q208-M213</f>
        <v>60</v>
      </c>
      <c r="O213" s="32"/>
      <c r="P213" s="32"/>
      <c r="Q213" s="33"/>
    </row>
    <row r="214" spans="1:17" ht="12.75" hidden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31">
        <f t="shared" si="12"/>
        <v>132</v>
      </c>
      <c r="N214" s="32">
        <f>Q208-M214</f>
        <v>48</v>
      </c>
      <c r="O214" s="32"/>
      <c r="P214" s="32"/>
      <c r="Q214" s="33"/>
    </row>
    <row r="215" spans="1:17" ht="12.75" hidden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31">
        <f t="shared" si="12"/>
        <v>144</v>
      </c>
      <c r="N215" s="32">
        <f>Q208-M215</f>
        <v>36</v>
      </c>
      <c r="O215" s="32"/>
      <c r="P215" s="32"/>
      <c r="Q215" s="33"/>
    </row>
    <row r="216" spans="1:17" ht="12.75" hidden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31">
        <f t="shared" si="12"/>
        <v>156</v>
      </c>
      <c r="N216" s="32">
        <f>Q208-M216</f>
        <v>24</v>
      </c>
      <c r="O216" s="32"/>
      <c r="P216" s="32"/>
      <c r="Q216" s="33"/>
    </row>
    <row r="217" spans="1:17" ht="12.75" hidden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31">
        <f t="shared" si="12"/>
        <v>168</v>
      </c>
      <c r="N217" s="32">
        <f>Q208-M217</f>
        <v>12</v>
      </c>
      <c r="O217" s="32"/>
      <c r="P217" s="32"/>
      <c r="Q217" s="33"/>
    </row>
    <row r="218" spans="1:17" ht="12.75" hidden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31">
        <f t="shared" si="12"/>
        <v>180</v>
      </c>
      <c r="N218" s="32">
        <f>Q208-M218</f>
        <v>0</v>
      </c>
      <c r="O218" s="32"/>
      <c r="P218" s="32"/>
      <c r="Q218" s="33"/>
    </row>
    <row r="219" spans="1:17" ht="12.75" hidden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31">
        <f t="shared" si="12"/>
        <v>180</v>
      </c>
      <c r="N219" s="32">
        <f>Q208-M219</f>
        <v>0</v>
      </c>
      <c r="O219" s="32"/>
      <c r="P219" s="32"/>
      <c r="Q219" s="33"/>
    </row>
    <row r="220" spans="1:17" ht="12.75" hidden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31">
        <f t="shared" si="12"/>
        <v>180</v>
      </c>
      <c r="N220" s="32">
        <f>Q208-M220</f>
        <v>0</v>
      </c>
      <c r="O220" s="32"/>
      <c r="P220" s="32"/>
      <c r="Q220" s="33"/>
    </row>
    <row r="221" spans="1:17" ht="12.75" hidden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31">
        <f t="shared" si="12"/>
        <v>180</v>
      </c>
      <c r="N221" s="32">
        <f>Q208-M221</f>
        <v>0</v>
      </c>
      <c r="O221" s="32"/>
      <c r="P221" s="32"/>
      <c r="Q221" s="33"/>
    </row>
    <row r="222" spans="1:17" ht="12.75" hidden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31">
        <f t="shared" si="12"/>
        <v>180</v>
      </c>
      <c r="N222" s="32">
        <f>Q208-M222</f>
        <v>0</v>
      </c>
      <c r="O222" s="32"/>
      <c r="P222" s="32"/>
      <c r="Q222" s="33"/>
    </row>
    <row r="223" spans="1:17" ht="12.75" hidden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31">
        <f t="shared" si="12"/>
        <v>180</v>
      </c>
      <c r="N223" s="32">
        <f>Q208-M223</f>
        <v>0</v>
      </c>
      <c r="O223" s="32"/>
      <c r="P223" s="32"/>
      <c r="Q223" s="33"/>
    </row>
    <row r="224" spans="1:17" ht="12.75" hidden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31">
        <f t="shared" si="12"/>
        <v>180</v>
      </c>
      <c r="N224" s="32">
        <f>Q208-M224</f>
        <v>0</v>
      </c>
      <c r="O224" s="32"/>
      <c r="P224" s="32"/>
      <c r="Q224" s="33"/>
    </row>
    <row r="225" spans="1:17" ht="12.75" hidden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31">
        <f t="shared" si="12"/>
        <v>180</v>
      </c>
      <c r="N225" s="32">
        <f>Q208-M225</f>
        <v>0</v>
      </c>
      <c r="O225" s="32"/>
      <c r="P225" s="32"/>
      <c r="Q225" s="33"/>
    </row>
    <row r="226" spans="1:17" ht="12.75" hidden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31">
        <f t="shared" si="12"/>
        <v>180</v>
      </c>
      <c r="N226" s="32">
        <f>Q208-M226</f>
        <v>0</v>
      </c>
      <c r="O226" s="32"/>
      <c r="P226" s="32"/>
      <c r="Q226" s="33"/>
    </row>
    <row r="227" spans="1:17" ht="12.75" hidden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31">
        <f t="shared" si="12"/>
        <v>180</v>
      </c>
      <c r="N227" s="32">
        <f>Q208-M227</f>
        <v>0</v>
      </c>
      <c r="O227" s="32"/>
      <c r="P227" s="32"/>
      <c r="Q227" s="33"/>
    </row>
    <row r="228" spans="1:17" ht="12.75" hidden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31">
        <f t="shared" si="12"/>
        <v>180</v>
      </c>
      <c r="N228" s="32">
        <f>Q208-M228</f>
        <v>0</v>
      </c>
      <c r="O228" s="32"/>
      <c r="P228" s="32"/>
      <c r="Q228" s="33"/>
    </row>
    <row r="229" spans="1:17" ht="12.75" hidden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31">
        <f t="shared" si="12"/>
        <v>180</v>
      </c>
      <c r="N229" s="32">
        <f>Q208-M229</f>
        <v>0</v>
      </c>
      <c r="O229" s="32"/>
      <c r="P229" s="32"/>
      <c r="Q229" s="33"/>
    </row>
    <row r="230" spans="1:17" ht="12.75" hidden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31">
        <f t="shared" si="12"/>
        <v>180</v>
      </c>
      <c r="N230" s="32">
        <f>Q208-M230</f>
        <v>0</v>
      </c>
      <c r="O230" s="32"/>
      <c r="P230" s="32"/>
      <c r="Q230" s="33"/>
    </row>
    <row r="231" spans="1:17" ht="12.75" hidden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31">
        <f t="shared" si="12"/>
        <v>180</v>
      </c>
      <c r="N231" s="32">
        <f>Q208-M231</f>
        <v>0</v>
      </c>
      <c r="O231" s="32"/>
      <c r="P231" s="32"/>
      <c r="Q231" s="33"/>
    </row>
    <row r="232" spans="1:17" ht="12.75" hidden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31">
        <f t="shared" si="12"/>
        <v>180</v>
      </c>
      <c r="N232" s="32">
        <f>Q208-M232</f>
        <v>0</v>
      </c>
      <c r="O232" s="32"/>
      <c r="P232" s="32"/>
      <c r="Q232" s="33"/>
    </row>
    <row r="233" spans="1:17" ht="12.75" hidden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31">
        <f t="shared" si="12"/>
        <v>180</v>
      </c>
      <c r="N233" s="32">
        <f>Q208-M233</f>
        <v>0</v>
      </c>
      <c r="O233" s="32"/>
      <c r="P233" s="32"/>
      <c r="Q233" s="33"/>
    </row>
    <row r="234" spans="1:17" ht="13.5" hidden="1" thickBo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36">
        <f t="shared" si="12"/>
        <v>180</v>
      </c>
      <c r="N234" s="37">
        <f>Q208-M234</f>
        <v>0</v>
      </c>
      <c r="O234" s="37"/>
      <c r="P234" s="37"/>
      <c r="Q234" s="38"/>
    </row>
  </sheetData>
  <sheetProtection password="FAF9" sheet="1" objects="1" scenarios="1"/>
  <mergeCells count="14">
    <mergeCell ref="B3:E3"/>
    <mergeCell ref="G3:J3"/>
    <mergeCell ref="B4:D4"/>
    <mergeCell ref="G4:I4"/>
    <mergeCell ref="B5:D5"/>
    <mergeCell ref="G5:I5"/>
    <mergeCell ref="B6:D6"/>
    <mergeCell ref="G6:I6"/>
    <mergeCell ref="B10:J10"/>
    <mergeCell ref="B25:I25"/>
    <mergeCell ref="B7:D7"/>
    <mergeCell ref="G7:I7"/>
    <mergeCell ref="B8:D8"/>
    <mergeCell ref="G8:I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Tyler</cp:lastModifiedBy>
  <cp:lastPrinted>2013-09-17T19:43:30Z</cp:lastPrinted>
  <dcterms:created xsi:type="dcterms:W3CDTF">2002-10-28T18:36:26Z</dcterms:created>
  <dcterms:modified xsi:type="dcterms:W3CDTF">2015-07-27T14:36:52Z</dcterms:modified>
  <cp:category/>
  <cp:version/>
  <cp:contentType/>
  <cp:contentStatus/>
</cp:coreProperties>
</file>